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ogonzalez\Documents\state fiscal rankings\2014\"/>
    </mc:Choice>
  </mc:AlternateContent>
  <bookViews>
    <workbookView xWindow="0" yWindow="0" windowWidth="20490" windowHeight="7620" tabRatio="500"/>
  </bookViews>
  <sheets>
    <sheet name="Dataset" sheetId="1" r:id="rId1"/>
    <sheet name="standardized values with PR" sheetId="9" r:id="rId2"/>
    <sheet name="rankings with PR" sheetId="10" r:id="rId3"/>
  </sheets>
  <definedNames>
    <definedName name="_xlnm._FilterDatabase" localSheetId="0" hidden="1">Dataset!$B$1:$B$56</definedName>
    <definedName name="_xlnm._FilterDatabase" localSheetId="1" hidden="1">'standardized values with PR'!$B$1:$B$52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S28" i="1" l="1"/>
  <c r="AS42" i="1"/>
  <c r="V43" i="1" l="1"/>
  <c r="F16" i="1" l="1"/>
  <c r="D16" i="1"/>
  <c r="E16" i="1" s="1"/>
  <c r="AK51" i="1" l="1"/>
  <c r="AS51" i="1" s="1"/>
  <c r="AJ51" i="1"/>
  <c r="AR51" i="1" s="1"/>
  <c r="R9" i="1" l="1"/>
  <c r="AB9" i="1" s="1"/>
  <c r="V51" i="1" l="1"/>
  <c r="AI51" i="1" s="1"/>
  <c r="AQ51" i="1" s="1"/>
  <c r="AJ14" i="1" l="1"/>
  <c r="AR14" i="1" s="1"/>
  <c r="O3" i="1"/>
  <c r="M35" i="1" l="1"/>
  <c r="L35" i="1"/>
  <c r="G35" i="1" l="1"/>
  <c r="F43" i="1"/>
  <c r="N37" i="1"/>
  <c r="D37" i="1"/>
  <c r="E37" i="1" s="1"/>
  <c r="N35" i="1"/>
  <c r="F35" i="1"/>
  <c r="D35" i="1"/>
  <c r="X35" i="1" l="1"/>
  <c r="O32" i="1"/>
  <c r="P34" i="1"/>
  <c r="H10" i="1"/>
  <c r="L6" i="1"/>
  <c r="J2" i="1"/>
  <c r="V28" i="1" l="1"/>
  <c r="W52" i="1" l="1"/>
  <c r="AI52" i="1" s="1"/>
  <c r="AQ52" i="1" s="1"/>
  <c r="AJ52" i="1" l="1"/>
  <c r="AR52" i="1" s="1"/>
  <c r="T53" i="1" l="1"/>
  <c r="U53" i="1"/>
  <c r="W53" i="1"/>
  <c r="S53" i="1"/>
  <c r="R52" i="1" l="1"/>
  <c r="P52" i="1"/>
  <c r="O52" i="1"/>
  <c r="N52" i="1"/>
  <c r="M52" i="1"/>
  <c r="L52" i="1"/>
  <c r="K52" i="1"/>
  <c r="I52" i="1"/>
  <c r="H52" i="1"/>
  <c r="Q52" i="1" s="1"/>
  <c r="D52" i="1"/>
  <c r="E52" i="1" s="1"/>
  <c r="F52" i="1" s="1"/>
  <c r="G52" i="1" l="1"/>
  <c r="X52" i="1" s="1"/>
  <c r="J52" i="1"/>
  <c r="H9" i="1"/>
  <c r="R28" i="1" l="1"/>
  <c r="P28" i="1"/>
  <c r="O28" i="1"/>
  <c r="N28" i="1"/>
  <c r="M28" i="1"/>
  <c r="G28" i="1" s="1"/>
  <c r="L28" i="1"/>
  <c r="K28" i="1"/>
  <c r="I28" i="1"/>
  <c r="H28" i="1"/>
  <c r="Q28" i="1" s="1"/>
  <c r="D28" i="1"/>
  <c r="E28" i="1" l="1"/>
  <c r="F28" i="1" s="1"/>
  <c r="J28" i="1"/>
  <c r="V15" i="1"/>
  <c r="D6" i="1" l="1"/>
  <c r="D5" i="1" l="1"/>
  <c r="R34" i="1" l="1"/>
  <c r="AB34" i="1" s="1"/>
  <c r="V49" i="1" l="1"/>
  <c r="G31" i="1" l="1"/>
  <c r="G10" i="1"/>
  <c r="AK4" i="1" l="1"/>
  <c r="AS4" i="1" s="1"/>
  <c r="AJ2" i="1" l="1"/>
  <c r="AK2" i="1"/>
  <c r="H2" i="1"/>
  <c r="AS2" i="1" l="1"/>
  <c r="AR2" i="1"/>
  <c r="AJ10" i="1"/>
  <c r="AR10" i="1" s="1"/>
  <c r="AK9" i="1"/>
  <c r="AS9" i="1" s="1"/>
  <c r="G44" i="1"/>
  <c r="G46" i="1"/>
  <c r="F46" i="1"/>
  <c r="D46" i="1"/>
  <c r="E46" i="1" s="1"/>
  <c r="M46" i="1"/>
  <c r="L46" i="1"/>
  <c r="K46" i="1"/>
  <c r="I46" i="1"/>
  <c r="G49" i="1"/>
  <c r="K35" i="1"/>
  <c r="I35" i="1"/>
  <c r="E35" i="1"/>
  <c r="AJ9" i="1"/>
  <c r="AR9" i="1" s="1"/>
  <c r="M51" i="1"/>
  <c r="L51" i="1"/>
  <c r="K51" i="1"/>
  <c r="J51" i="1"/>
  <c r="I51" i="1"/>
  <c r="H51" i="1"/>
  <c r="F51" i="1"/>
  <c r="D51" i="1"/>
  <c r="E51" i="1" s="1"/>
  <c r="D44" i="1"/>
  <c r="M31" i="1"/>
  <c r="L31" i="1"/>
  <c r="K31" i="1"/>
  <c r="I31" i="1"/>
  <c r="F31" i="1"/>
  <c r="D31" i="1"/>
  <c r="E31" i="1" s="1"/>
  <c r="G51" i="1"/>
  <c r="R3" i="1"/>
  <c r="AB3" i="1" s="1"/>
  <c r="H31" i="1"/>
  <c r="Q31" i="1" s="1"/>
  <c r="AE31" i="1" s="1"/>
  <c r="H46" i="1"/>
  <c r="Q46" i="1" s="1"/>
  <c r="AE46" i="1" s="1"/>
  <c r="X28" i="1"/>
  <c r="AM46" i="1" l="1"/>
  <c r="AM31" i="1"/>
  <c r="J35" i="1"/>
  <c r="J46" i="1"/>
  <c r="X44" i="1"/>
  <c r="J31" i="1"/>
  <c r="P10" i="1"/>
  <c r="R8" i="1"/>
  <c r="D34" i="1" l="1"/>
  <c r="D21" i="1" l="1"/>
  <c r="F20" i="1"/>
  <c r="D20" i="1"/>
  <c r="F18" i="1"/>
  <c r="D15" i="1"/>
  <c r="D9" i="1" l="1"/>
  <c r="D8" i="1"/>
  <c r="F7" i="1" l="1"/>
  <c r="G6" i="1"/>
  <c r="X6" i="1" s="1"/>
  <c r="F6" i="1"/>
  <c r="M5" i="1"/>
  <c r="F5" i="1"/>
  <c r="F4" i="1"/>
  <c r="I2" i="1"/>
  <c r="R51" i="1"/>
  <c r="P51" i="1"/>
  <c r="O51" i="1"/>
  <c r="N51" i="1"/>
  <c r="V35" i="1"/>
  <c r="R35" i="1"/>
  <c r="P35" i="1"/>
  <c r="O35" i="1"/>
  <c r="V32" i="1"/>
  <c r="R32" i="1"/>
  <c r="P32" i="1"/>
  <c r="AA32" i="1" s="1"/>
  <c r="N32" i="1"/>
  <c r="M32" i="1"/>
  <c r="L32" i="1"/>
  <c r="K32" i="1"/>
  <c r="I32" i="1"/>
  <c r="H32" i="1"/>
  <c r="G32" i="1"/>
  <c r="F32" i="1"/>
  <c r="D32" i="1"/>
  <c r="E32" i="1" s="1"/>
  <c r="V50" i="1"/>
  <c r="R50" i="1"/>
  <c r="P50" i="1"/>
  <c r="O50" i="1"/>
  <c r="N50" i="1"/>
  <c r="L50" i="1"/>
  <c r="K50" i="1"/>
  <c r="I50" i="1"/>
  <c r="H50" i="1"/>
  <c r="D50" i="1"/>
  <c r="E50" i="1" s="1"/>
  <c r="F50" i="1" s="1"/>
  <c r="R49" i="1"/>
  <c r="P49" i="1"/>
  <c r="O49" i="1"/>
  <c r="N49" i="1"/>
  <c r="M49" i="1"/>
  <c r="L49" i="1"/>
  <c r="K49" i="1"/>
  <c r="I49" i="1"/>
  <c r="H49" i="1"/>
  <c r="F49" i="1"/>
  <c r="D49" i="1"/>
  <c r="J50" i="1" l="1"/>
  <c r="J32" i="1"/>
  <c r="Z6" i="1"/>
  <c r="J49" i="1"/>
  <c r="AC49" i="1" s="1"/>
  <c r="E49" i="1"/>
  <c r="X49" i="1"/>
  <c r="V48" i="1"/>
  <c r="R48" i="1"/>
  <c r="P48" i="1"/>
  <c r="O48" i="1"/>
  <c r="N48" i="1"/>
  <c r="L48" i="1"/>
  <c r="I48" i="1"/>
  <c r="J48" i="1" s="1"/>
  <c r="M48" i="1"/>
  <c r="H48" i="1"/>
  <c r="D48" i="1"/>
  <c r="E48" i="1" s="1"/>
  <c r="F48" i="1" s="1"/>
  <c r="V47" i="1"/>
  <c r="R47" i="1"/>
  <c r="P47" i="1"/>
  <c r="O47" i="1"/>
  <c r="N47" i="1"/>
  <c r="K47" i="1"/>
  <c r="I47" i="1"/>
  <c r="L47" i="1"/>
  <c r="M47" i="1"/>
  <c r="G47" i="1" s="1"/>
  <c r="H47" i="1"/>
  <c r="D47" i="1"/>
  <c r="E47" i="1" s="1"/>
  <c r="F47" i="1" s="1"/>
  <c r="V46" i="1"/>
  <c r="R46" i="1"/>
  <c r="P46" i="1"/>
  <c r="O46" i="1"/>
  <c r="N46" i="1"/>
  <c r="V45" i="1"/>
  <c r="R45" i="1"/>
  <c r="P45" i="1"/>
  <c r="O45" i="1"/>
  <c r="N45" i="1"/>
  <c r="L45" i="1"/>
  <c r="K45" i="1"/>
  <c r="J45" i="1"/>
  <c r="I45" i="1"/>
  <c r="M45" i="1"/>
  <c r="H45" i="1"/>
  <c r="D45" i="1"/>
  <c r="E45" i="1" s="1"/>
  <c r="F45" i="1" s="1"/>
  <c r="V44" i="1"/>
  <c r="R44" i="1"/>
  <c r="P44" i="1"/>
  <c r="O44" i="1"/>
  <c r="N44" i="1"/>
  <c r="M44" i="1"/>
  <c r="L44" i="1"/>
  <c r="K44" i="1"/>
  <c r="I44" i="1"/>
  <c r="H44" i="1"/>
  <c r="F44" i="1"/>
  <c r="E44" i="1"/>
  <c r="R43" i="1"/>
  <c r="P43" i="1"/>
  <c r="O43" i="1"/>
  <c r="N43" i="1"/>
  <c r="L43" i="1"/>
  <c r="K43" i="1"/>
  <c r="J43" i="1"/>
  <c r="I43" i="1"/>
  <c r="M43" i="1"/>
  <c r="H43" i="1"/>
  <c r="D43" i="1"/>
  <c r="E43" i="1" s="1"/>
  <c r="V42" i="1"/>
  <c r="R42" i="1"/>
  <c r="P42" i="1"/>
  <c r="O42" i="1"/>
  <c r="N42" i="1"/>
  <c r="M42" i="1"/>
  <c r="L42" i="1"/>
  <c r="K42" i="1"/>
  <c r="I42" i="1"/>
  <c r="H42" i="1"/>
  <c r="D42" i="1"/>
  <c r="E42" i="1" s="1"/>
  <c r="F42" i="1" s="1"/>
  <c r="V41" i="1"/>
  <c r="R41" i="1"/>
  <c r="P41" i="1"/>
  <c r="O41" i="1"/>
  <c r="N41" i="1"/>
  <c r="L41" i="1"/>
  <c r="K41" i="1"/>
  <c r="J41" i="1"/>
  <c r="I41" i="1"/>
  <c r="M41" i="1"/>
  <c r="H41" i="1"/>
  <c r="F41" i="1"/>
  <c r="D41" i="1"/>
  <c r="E41" i="1" s="1"/>
  <c r="V40" i="1"/>
  <c r="R40" i="1"/>
  <c r="P40" i="1"/>
  <c r="O40" i="1"/>
  <c r="N40" i="1"/>
  <c r="M40" i="1"/>
  <c r="L40" i="1"/>
  <c r="K40" i="1"/>
  <c r="I40" i="1"/>
  <c r="H40" i="1"/>
  <c r="G40" i="1"/>
  <c r="F40" i="1"/>
  <c r="D40" i="1"/>
  <c r="E40" i="1" s="1"/>
  <c r="O39" i="1"/>
  <c r="V39" i="1"/>
  <c r="R39" i="1"/>
  <c r="P39" i="1"/>
  <c r="N39" i="1"/>
  <c r="M39" i="1"/>
  <c r="L39" i="1"/>
  <c r="K39" i="1"/>
  <c r="I39" i="1"/>
  <c r="H39" i="1"/>
  <c r="G39" i="1"/>
  <c r="F39" i="1"/>
  <c r="D39" i="1"/>
  <c r="E39" i="1" s="1"/>
  <c r="V37" i="1"/>
  <c r="R37" i="1"/>
  <c r="P37" i="1"/>
  <c r="O37" i="1"/>
  <c r="M37" i="1"/>
  <c r="L37" i="1"/>
  <c r="K37" i="1"/>
  <c r="I37" i="1"/>
  <c r="H37" i="1"/>
  <c r="G37" i="1"/>
  <c r="F37" i="1"/>
  <c r="V38" i="1"/>
  <c r="R38" i="1"/>
  <c r="P38" i="1"/>
  <c r="O38" i="1"/>
  <c r="N38" i="1"/>
  <c r="M38" i="1"/>
  <c r="L38" i="1"/>
  <c r="I38" i="1"/>
  <c r="J38" i="1" s="1"/>
  <c r="H38" i="1"/>
  <c r="G38" i="1"/>
  <c r="F38" i="1"/>
  <c r="D38" i="1"/>
  <c r="E38" i="1" s="1"/>
  <c r="J47" i="1" l="1"/>
  <c r="J37" i="1"/>
  <c r="J39" i="1"/>
  <c r="G45" i="1"/>
  <c r="J40" i="1"/>
  <c r="AC40" i="1" s="1"/>
  <c r="G41" i="1"/>
  <c r="J44" i="1"/>
  <c r="J42" i="1"/>
  <c r="V36" i="1"/>
  <c r="R36" i="1"/>
  <c r="P36" i="1"/>
  <c r="O36" i="1"/>
  <c r="N36" i="1"/>
  <c r="M36" i="1"/>
  <c r="L36" i="1"/>
  <c r="K36" i="1"/>
  <c r="I36" i="1"/>
  <c r="H36" i="1"/>
  <c r="D36" i="1"/>
  <c r="E36" i="1" s="1"/>
  <c r="F36" i="1" s="1"/>
  <c r="V34" i="1"/>
  <c r="O34" i="1"/>
  <c r="N34" i="1"/>
  <c r="M34" i="1"/>
  <c r="L34" i="1"/>
  <c r="K34" i="1"/>
  <c r="I34" i="1"/>
  <c r="H34" i="1"/>
  <c r="E34" i="1"/>
  <c r="F34" i="1" s="1"/>
  <c r="V33" i="1"/>
  <c r="R33" i="1"/>
  <c r="P33" i="1"/>
  <c r="O33" i="1"/>
  <c r="N33" i="1"/>
  <c r="I33" i="1"/>
  <c r="K33" i="1"/>
  <c r="L33" i="1"/>
  <c r="M33" i="1"/>
  <c r="G33" i="1"/>
  <c r="D33" i="1"/>
  <c r="E33" i="1" s="1"/>
  <c r="F33" i="1" s="1"/>
  <c r="H33" i="1" l="1"/>
  <c r="J34" i="1"/>
  <c r="J33" i="1"/>
  <c r="AA34" i="1"/>
  <c r="G36" i="1"/>
  <c r="J36" i="1"/>
  <c r="R31" i="1"/>
  <c r="P31" i="1"/>
  <c r="O31" i="1"/>
  <c r="N31" i="1"/>
  <c r="V30" i="1"/>
  <c r="R30" i="1"/>
  <c r="P30" i="1"/>
  <c r="O30" i="1"/>
  <c r="N30" i="1"/>
  <c r="M30" i="1"/>
  <c r="L30" i="1"/>
  <c r="I30" i="1"/>
  <c r="J30" i="1" s="1"/>
  <c r="H30" i="1"/>
  <c r="F30" i="1"/>
  <c r="D30" i="1"/>
  <c r="E30" i="1" s="1"/>
  <c r="AJ29" i="1"/>
  <c r="AR29" i="1" s="1"/>
  <c r="AK29" i="1"/>
  <c r="AS29" i="1" s="1"/>
  <c r="Y28" i="1"/>
  <c r="Z28" i="1"/>
  <c r="AA28" i="1"/>
  <c r="AB28" i="1"/>
  <c r="AC28" i="1"/>
  <c r="AD28" i="1"/>
  <c r="AE28" i="1"/>
  <c r="AF28" i="1"/>
  <c r="AG28" i="1"/>
  <c r="AH28" i="1"/>
  <c r="AI28" i="1"/>
  <c r="AQ28" i="1" s="1"/>
  <c r="AJ28" i="1"/>
  <c r="AR28" i="1" s="1"/>
  <c r="V29" i="1"/>
  <c r="AI29" i="1" s="1"/>
  <c r="AQ29" i="1" s="1"/>
  <c r="P29" i="1"/>
  <c r="AH29" i="1" s="1"/>
  <c r="R29" i="1"/>
  <c r="AB29" i="1" s="1"/>
  <c r="O29" i="1"/>
  <c r="N29" i="1"/>
  <c r="AF29" i="1" s="1"/>
  <c r="M29" i="1"/>
  <c r="I29" i="1"/>
  <c r="G29" i="1"/>
  <c r="D29" i="1"/>
  <c r="V27" i="1"/>
  <c r="R27" i="1"/>
  <c r="P27" i="1"/>
  <c r="O27" i="1"/>
  <c r="N27" i="1"/>
  <c r="M27" i="1"/>
  <c r="L27" i="1"/>
  <c r="F27" i="1" s="1"/>
  <c r="I27" i="1"/>
  <c r="J27" i="1" s="1"/>
  <c r="H27" i="1"/>
  <c r="D27" i="1"/>
  <c r="E27" i="1" s="1"/>
  <c r="AN28" i="1" l="1"/>
  <c r="AP29" i="1"/>
  <c r="AP28" i="1"/>
  <c r="AL28" i="1"/>
  <c r="AM28" i="1"/>
  <c r="AN29" i="1"/>
  <c r="AO28" i="1"/>
  <c r="G27" i="1"/>
  <c r="X27" i="1" s="1"/>
  <c r="E29" i="1"/>
  <c r="F29" i="1" s="1"/>
  <c r="Z29" i="1" s="1"/>
  <c r="X29" i="1"/>
  <c r="H29" i="1"/>
  <c r="Q29" i="1" s="1"/>
  <c r="AE29" i="1" s="1"/>
  <c r="AA29" i="1"/>
  <c r="J29" i="1"/>
  <c r="AC29" i="1" s="1"/>
  <c r="AG29" i="1"/>
  <c r="V26" i="1"/>
  <c r="R26" i="1"/>
  <c r="P26" i="1"/>
  <c r="O26" i="1"/>
  <c r="N26" i="1"/>
  <c r="L26" i="1"/>
  <c r="K26" i="1"/>
  <c r="I26" i="1"/>
  <c r="M26" i="1"/>
  <c r="H26" i="1"/>
  <c r="D26" i="1"/>
  <c r="E26" i="1" s="1"/>
  <c r="F26" i="1" s="1"/>
  <c r="V25" i="1"/>
  <c r="R25" i="1"/>
  <c r="P25" i="1"/>
  <c r="O25" i="1"/>
  <c r="N25" i="1"/>
  <c r="M25" i="1"/>
  <c r="L25" i="1"/>
  <c r="K25" i="1"/>
  <c r="J25" i="1"/>
  <c r="I25" i="1"/>
  <c r="H25" i="1"/>
  <c r="G25" i="1"/>
  <c r="F25" i="1"/>
  <c r="D25" i="1"/>
  <c r="E25" i="1" s="1"/>
  <c r="V24" i="1"/>
  <c r="R24" i="1"/>
  <c r="P24" i="1"/>
  <c r="O24" i="1"/>
  <c r="N24" i="1"/>
  <c r="L24" i="1"/>
  <c r="K24" i="1"/>
  <c r="J24" i="1"/>
  <c r="I24" i="1"/>
  <c r="H24" i="1"/>
  <c r="G24" i="1"/>
  <c r="D24" i="1"/>
  <c r="E24" i="1" s="1"/>
  <c r="V23" i="1"/>
  <c r="R23" i="1"/>
  <c r="P23" i="1"/>
  <c r="O23" i="1"/>
  <c r="N23" i="1"/>
  <c r="M23" i="1"/>
  <c r="L23" i="1"/>
  <c r="K23" i="1"/>
  <c r="I23" i="1"/>
  <c r="H23" i="1"/>
  <c r="G23" i="1"/>
  <c r="F23" i="1"/>
  <c r="D23" i="1"/>
  <c r="E23" i="1" s="1"/>
  <c r="V22" i="1"/>
  <c r="R22" i="1"/>
  <c r="P22" i="1"/>
  <c r="O22" i="1"/>
  <c r="N22" i="1"/>
  <c r="M22" i="1"/>
  <c r="L22" i="1"/>
  <c r="K22" i="1"/>
  <c r="I22" i="1"/>
  <c r="H22" i="1"/>
  <c r="G22" i="1"/>
  <c r="F22" i="1"/>
  <c r="D22" i="1"/>
  <c r="E22" i="1" s="1"/>
  <c r="AM29" i="1" l="1"/>
  <c r="AO29" i="1"/>
  <c r="AD29" i="1"/>
  <c r="J23" i="1"/>
  <c r="Y29" i="1"/>
  <c r="J22" i="1"/>
  <c r="J26" i="1"/>
  <c r="P21" i="1"/>
  <c r="O21" i="1"/>
  <c r="H21" i="1"/>
  <c r="G21" i="1"/>
  <c r="V21" i="1"/>
  <c r="R21" i="1"/>
  <c r="N21" i="1"/>
  <c r="I21" i="1"/>
  <c r="K21" i="1"/>
  <c r="M21" i="1"/>
  <c r="L21" i="1"/>
  <c r="E21" i="1"/>
  <c r="F21" i="1" s="1"/>
  <c r="P19" i="1"/>
  <c r="O19" i="1"/>
  <c r="V19" i="1"/>
  <c r="R19" i="1"/>
  <c r="N19" i="1"/>
  <c r="I19" i="1"/>
  <c r="K19" i="1"/>
  <c r="G19" i="1"/>
  <c r="H19" i="1"/>
  <c r="Q19" i="1" s="1"/>
  <c r="M19" i="1"/>
  <c r="L19" i="1"/>
  <c r="F19" i="1" s="1"/>
  <c r="D19" i="1"/>
  <c r="E19" i="1" s="1"/>
  <c r="V20" i="1"/>
  <c r="R20" i="1"/>
  <c r="P20" i="1"/>
  <c r="O20" i="1"/>
  <c r="N20" i="1"/>
  <c r="M20" i="1"/>
  <c r="L20" i="1"/>
  <c r="K20" i="1"/>
  <c r="J20" i="1" s="1"/>
  <c r="H20" i="1"/>
  <c r="Q20" i="1" s="1"/>
  <c r="G20" i="1"/>
  <c r="E20" i="1"/>
  <c r="AL29" i="1" l="1"/>
  <c r="AA20" i="1"/>
  <c r="J19" i="1"/>
  <c r="J21" i="1"/>
  <c r="P18" i="1"/>
  <c r="O18" i="1"/>
  <c r="N18" i="1"/>
  <c r="V18" i="1"/>
  <c r="R18" i="1"/>
  <c r="L18" i="1"/>
  <c r="K18" i="1"/>
  <c r="I18" i="1"/>
  <c r="H18" i="1"/>
  <c r="M18" i="1"/>
  <c r="D18" i="1"/>
  <c r="E18" i="1" s="1"/>
  <c r="P17" i="1"/>
  <c r="O17" i="1"/>
  <c r="V17" i="1"/>
  <c r="R17" i="1"/>
  <c r="N17" i="1"/>
  <c r="M17" i="1"/>
  <c r="K17" i="1"/>
  <c r="J17" i="1" s="1"/>
  <c r="H17" i="1"/>
  <c r="L17" i="1"/>
  <c r="D17" i="1"/>
  <c r="E17" i="1" s="1"/>
  <c r="F17" i="1" s="1"/>
  <c r="J18" i="1" l="1"/>
  <c r="P16" i="1"/>
  <c r="O16" i="1"/>
  <c r="V16" i="1"/>
  <c r="R16" i="1"/>
  <c r="AB16" i="1" s="1"/>
  <c r="N16" i="1"/>
  <c r="I16" i="1"/>
  <c r="K16" i="1"/>
  <c r="M16" i="1"/>
  <c r="H16" i="1"/>
  <c r="G16" i="1"/>
  <c r="L16" i="1"/>
  <c r="P15" i="1"/>
  <c r="O15" i="1"/>
  <c r="R15" i="1"/>
  <c r="N15" i="1"/>
  <c r="K15" i="1"/>
  <c r="I15" i="1"/>
  <c r="H15" i="1"/>
  <c r="M15" i="1"/>
  <c r="L15" i="1"/>
  <c r="F15" i="1" s="1"/>
  <c r="E15" i="1"/>
  <c r="P14" i="1"/>
  <c r="O14" i="1"/>
  <c r="V14" i="1"/>
  <c r="AI14" i="1" s="1"/>
  <c r="AQ14" i="1" s="1"/>
  <c r="R14" i="1"/>
  <c r="N14" i="1"/>
  <c r="I14" i="1"/>
  <c r="H14" i="1"/>
  <c r="K14" i="1"/>
  <c r="M14" i="1"/>
  <c r="L14" i="1"/>
  <c r="F14" i="1" s="1"/>
  <c r="D14" i="1"/>
  <c r="E14" i="1" s="1"/>
  <c r="P13" i="1"/>
  <c r="O13" i="1"/>
  <c r="V12" i="1"/>
  <c r="V13" i="1"/>
  <c r="R13" i="1"/>
  <c r="N13" i="1"/>
  <c r="I13" i="1"/>
  <c r="K13" i="1"/>
  <c r="G17" i="1"/>
  <c r="G18" i="1"/>
  <c r="G26" i="1"/>
  <c r="G30" i="1"/>
  <c r="G34" i="1"/>
  <c r="G42" i="1"/>
  <c r="G43" i="1"/>
  <c r="G48" i="1"/>
  <c r="G50" i="1"/>
  <c r="H13" i="1"/>
  <c r="M13" i="1"/>
  <c r="L13" i="1"/>
  <c r="F13" i="1" s="1"/>
  <c r="D13" i="1"/>
  <c r="E13" i="1" s="1"/>
  <c r="R12" i="1"/>
  <c r="P12" i="1"/>
  <c r="O12" i="1"/>
  <c r="N12" i="1"/>
  <c r="H12" i="1"/>
  <c r="K12" i="1"/>
  <c r="I12" i="1"/>
  <c r="M12" i="1"/>
  <c r="L12" i="1"/>
  <c r="D12" i="1"/>
  <c r="E12" i="1" s="1"/>
  <c r="F12" i="1" s="1"/>
  <c r="J13" i="1" l="1"/>
  <c r="G14" i="1"/>
  <c r="AA16" i="1"/>
  <c r="J15" i="1"/>
  <c r="Z16" i="1"/>
  <c r="X16" i="1"/>
  <c r="Y16" i="1"/>
  <c r="G15" i="1"/>
  <c r="Z42" i="1"/>
  <c r="X42" i="1"/>
  <c r="J16" i="1"/>
  <c r="G12" i="1"/>
  <c r="G13" i="1"/>
  <c r="J12" i="1"/>
  <c r="J14" i="1"/>
  <c r="P11" i="1"/>
  <c r="O11" i="1"/>
  <c r="V11" i="1"/>
  <c r="R11" i="1"/>
  <c r="N11" i="1"/>
  <c r="L11" i="1"/>
  <c r="K11" i="1"/>
  <c r="I11" i="1"/>
  <c r="M11" i="1"/>
  <c r="H11" i="1"/>
  <c r="D11" i="1"/>
  <c r="E11" i="1" s="1"/>
  <c r="F11" i="1" s="1"/>
  <c r="O10" i="1"/>
  <c r="V10" i="1"/>
  <c r="R10" i="1"/>
  <c r="N10" i="1"/>
  <c r="M10" i="1"/>
  <c r="K10" i="1"/>
  <c r="I10" i="1"/>
  <c r="L10" i="1"/>
  <c r="D10" i="1"/>
  <c r="E10" i="1" s="1"/>
  <c r="F10" i="1" s="1"/>
  <c r="P9" i="1"/>
  <c r="AH9" i="1" s="1"/>
  <c r="O9" i="1"/>
  <c r="V9" i="1"/>
  <c r="AI9" i="1" s="1"/>
  <c r="AQ9" i="1" s="1"/>
  <c r="N9" i="1"/>
  <c r="AF9" i="1" s="1"/>
  <c r="M9" i="1"/>
  <c r="G9" i="1" s="1"/>
  <c r="X9" i="1" s="1"/>
  <c r="K9" i="1"/>
  <c r="I9" i="1"/>
  <c r="L9" i="1"/>
  <c r="E9" i="1"/>
  <c r="P8" i="1"/>
  <c r="O8" i="1"/>
  <c r="V8" i="1"/>
  <c r="AI8" i="1" s="1"/>
  <c r="AQ8" i="1" s="1"/>
  <c r="N8" i="1"/>
  <c r="M8" i="1"/>
  <c r="L8" i="1"/>
  <c r="K8" i="1"/>
  <c r="I8" i="1"/>
  <c r="H8" i="1"/>
  <c r="G8" i="1"/>
  <c r="F8" i="1"/>
  <c r="E8" i="1"/>
  <c r="V7" i="1"/>
  <c r="R7" i="1"/>
  <c r="AB7" i="1" s="1"/>
  <c r="P7" i="1"/>
  <c r="O7" i="1"/>
  <c r="N7" i="1"/>
  <c r="M7" i="1"/>
  <c r="L7" i="1"/>
  <c r="K7" i="1"/>
  <c r="I7" i="1"/>
  <c r="H7" i="1"/>
  <c r="G7" i="1"/>
  <c r="Z7" i="1" s="1"/>
  <c r="D7" i="1"/>
  <c r="AP9" i="1" l="1"/>
  <c r="AN9" i="1"/>
  <c r="AA7" i="1"/>
  <c r="E7" i="1"/>
  <c r="Y7" i="1" s="1"/>
  <c r="X7" i="1"/>
  <c r="F9" i="1"/>
  <c r="Z9" i="1" s="1"/>
  <c r="Y9" i="1"/>
  <c r="AG9" i="1"/>
  <c r="AA9" i="1"/>
  <c r="J10" i="1"/>
  <c r="J7" i="1"/>
  <c r="AC7" i="1" s="1"/>
  <c r="J9" i="1"/>
  <c r="J8" i="1"/>
  <c r="J11" i="1"/>
  <c r="G11" i="1"/>
  <c r="V6" i="1"/>
  <c r="P6" i="1"/>
  <c r="O6" i="1"/>
  <c r="N6" i="1"/>
  <c r="R6" i="1"/>
  <c r="AB6" i="1" s="1"/>
  <c r="M6" i="1"/>
  <c r="K6" i="1"/>
  <c r="I6" i="1"/>
  <c r="H6" i="1"/>
  <c r="AD6" i="1" s="1"/>
  <c r="E6" i="1"/>
  <c r="Y6" i="1" s="1"/>
  <c r="V5" i="1"/>
  <c r="P5" i="1"/>
  <c r="O5" i="1"/>
  <c r="R5" i="1"/>
  <c r="AB5" i="1" s="1"/>
  <c r="N5" i="1"/>
  <c r="L5" i="1"/>
  <c r="K5" i="1"/>
  <c r="I5" i="1"/>
  <c r="H5" i="1"/>
  <c r="Q5" i="1" s="1"/>
  <c r="G5" i="1"/>
  <c r="E5" i="1"/>
  <c r="V4" i="1"/>
  <c r="P4" i="1"/>
  <c r="O4" i="1"/>
  <c r="R4" i="1"/>
  <c r="AB4" i="1" s="1"/>
  <c r="N4" i="1"/>
  <c r="M4" i="1"/>
  <c r="K4" i="1"/>
  <c r="I4" i="1"/>
  <c r="H4" i="1"/>
  <c r="Q4" i="1" s="1"/>
  <c r="G4" i="1"/>
  <c r="Z4" i="1" s="1"/>
  <c r="L4" i="1"/>
  <c r="D4" i="1"/>
  <c r="V2" i="1"/>
  <c r="V3" i="1"/>
  <c r="P3" i="1"/>
  <c r="AA3" i="1" s="1"/>
  <c r="N3" i="1"/>
  <c r="M3" i="1"/>
  <c r="L3" i="1"/>
  <c r="K3" i="1"/>
  <c r="I3" i="1"/>
  <c r="H3" i="1"/>
  <c r="Q3" i="1" s="1"/>
  <c r="D3" i="1"/>
  <c r="R2" i="1"/>
  <c r="AB2" i="1" s="1"/>
  <c r="P2" i="1"/>
  <c r="AH2" i="1" s="1"/>
  <c r="O2" i="1"/>
  <c r="N2" i="1"/>
  <c r="AF2" i="1" s="1"/>
  <c r="M2" i="1"/>
  <c r="L2" i="1"/>
  <c r="K2" i="1"/>
  <c r="Q2" i="1"/>
  <c r="AE2" i="1" s="1"/>
  <c r="D2" i="1"/>
  <c r="Q7" i="1"/>
  <c r="Q8" i="1"/>
  <c r="Q9" i="1"/>
  <c r="Q10" i="1"/>
  <c r="Q11" i="1"/>
  <c r="Q12" i="1"/>
  <c r="Q13" i="1"/>
  <c r="Q14" i="1"/>
  <c r="Q15" i="1"/>
  <c r="Q16" i="1"/>
  <c r="Q17" i="1"/>
  <c r="Q18" i="1"/>
  <c r="Q21" i="1"/>
  <c r="Q22" i="1"/>
  <c r="Q23" i="1"/>
  <c r="Q24" i="1"/>
  <c r="Q25" i="1"/>
  <c r="Q26" i="1"/>
  <c r="Q27" i="1"/>
  <c r="Q30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7" i="1"/>
  <c r="Q48" i="1"/>
  <c r="Q49" i="1"/>
  <c r="Q50" i="1"/>
  <c r="Q51" i="1"/>
  <c r="AM2" i="1" l="1"/>
  <c r="AN2" i="1"/>
  <c r="AP2" i="1"/>
  <c r="AL6" i="1"/>
  <c r="AO9" i="1"/>
  <c r="G3" i="1"/>
  <c r="X3" i="1" s="1"/>
  <c r="AD2" i="1"/>
  <c r="AC2" i="1"/>
  <c r="J3" i="1"/>
  <c r="AC3" i="1" s="1"/>
  <c r="Y5" i="1"/>
  <c r="AA5" i="1"/>
  <c r="V53" i="1"/>
  <c r="AA2" i="1"/>
  <c r="AA4" i="1"/>
  <c r="E3" i="1"/>
  <c r="E4" i="1"/>
  <c r="Y4" i="1" s="1"/>
  <c r="X4" i="1"/>
  <c r="AG2" i="1"/>
  <c r="X5" i="1"/>
  <c r="Z5" i="1"/>
  <c r="E2" i="1"/>
  <c r="J6" i="1"/>
  <c r="AC6" i="1" s="1"/>
  <c r="AA6" i="1"/>
  <c r="AI2" i="1"/>
  <c r="G2" i="1"/>
  <c r="X2" i="1" s="1"/>
  <c r="J5" i="1"/>
  <c r="AC5" i="1" s="1"/>
  <c r="J4" i="1"/>
  <c r="AC4" i="1" s="1"/>
  <c r="Q6" i="1"/>
  <c r="Q4" i="10"/>
  <c r="Q5" i="10" s="1"/>
  <c r="Q6" i="10" s="1"/>
  <c r="Q7" i="10" s="1"/>
  <c r="Q8" i="10" s="1"/>
  <c r="Q9" i="10" s="1"/>
  <c r="Q10" i="10" s="1"/>
  <c r="Q11" i="10" s="1"/>
  <c r="Q12" i="10" s="1"/>
  <c r="Q13" i="10" s="1"/>
  <c r="Q14" i="10" s="1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Q48" i="10" s="1"/>
  <c r="Q49" i="10" s="1"/>
  <c r="Q50" i="10" s="1"/>
  <c r="Q51" i="10" s="1"/>
  <c r="Q52" i="10" s="1"/>
  <c r="Q53" i="10" s="1"/>
  <c r="M4" i="10"/>
  <c r="M5" i="10" s="1"/>
  <c r="M6" i="10" s="1"/>
  <c r="M7" i="10" s="1"/>
  <c r="M8" i="10" s="1"/>
  <c r="M9" i="10" s="1"/>
  <c r="M10" i="10" s="1"/>
  <c r="M11" i="10" s="1"/>
  <c r="M12" i="10" s="1"/>
  <c r="M13" i="10" s="1"/>
  <c r="M14" i="10" s="1"/>
  <c r="M15" i="10" s="1"/>
  <c r="M16" i="10" s="1"/>
  <c r="M17" i="10" s="1"/>
  <c r="M18" i="10" s="1"/>
  <c r="M19" i="10" s="1"/>
  <c r="M20" i="10" s="1"/>
  <c r="M21" i="10" s="1"/>
  <c r="M22" i="10" s="1"/>
  <c r="M23" i="10" s="1"/>
  <c r="M24" i="10" s="1"/>
  <c r="M25" i="10" s="1"/>
  <c r="M26" i="10" s="1"/>
  <c r="M27" i="10" s="1"/>
  <c r="M28" i="10" s="1"/>
  <c r="M29" i="10" s="1"/>
  <c r="M30" i="10" s="1"/>
  <c r="M31" i="10" s="1"/>
  <c r="M32" i="10" s="1"/>
  <c r="M33" i="10" s="1"/>
  <c r="M34" i="10" s="1"/>
  <c r="M35" i="10" s="1"/>
  <c r="M36" i="10" s="1"/>
  <c r="M37" i="10" s="1"/>
  <c r="M38" i="10" s="1"/>
  <c r="M39" i="10" s="1"/>
  <c r="M40" i="10" s="1"/>
  <c r="M41" i="10" s="1"/>
  <c r="M42" i="10" s="1"/>
  <c r="M43" i="10" s="1"/>
  <c r="M44" i="10" s="1"/>
  <c r="M45" i="10" s="1"/>
  <c r="M46" i="10" s="1"/>
  <c r="M47" i="10" s="1"/>
  <c r="M48" i="10" s="1"/>
  <c r="M49" i="10" s="1"/>
  <c r="M50" i="10" s="1"/>
  <c r="M51" i="10" s="1"/>
  <c r="M52" i="10" s="1"/>
  <c r="M53" i="10" s="1"/>
  <c r="I4" i="10"/>
  <c r="I5" i="10" s="1"/>
  <c r="I6" i="10" s="1"/>
  <c r="I7" i="10" s="1"/>
  <c r="I8" i="10" s="1"/>
  <c r="I9" i="10" s="1"/>
  <c r="I10" i="10" s="1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I22" i="10" s="1"/>
  <c r="I23" i="10" s="1"/>
  <c r="I24" i="10" s="1"/>
  <c r="I25" i="10" s="1"/>
  <c r="I26" i="10" s="1"/>
  <c r="I27" i="10" s="1"/>
  <c r="I28" i="10" s="1"/>
  <c r="I29" i="10" s="1"/>
  <c r="I30" i="10" s="1"/>
  <c r="I31" i="10" s="1"/>
  <c r="I32" i="10" s="1"/>
  <c r="I33" i="10" s="1"/>
  <c r="I34" i="10" s="1"/>
  <c r="I35" i="10" s="1"/>
  <c r="I36" i="10" s="1"/>
  <c r="I37" i="10" s="1"/>
  <c r="I38" i="10" s="1"/>
  <c r="I39" i="10" s="1"/>
  <c r="I40" i="10" s="1"/>
  <c r="I41" i="10" s="1"/>
  <c r="I42" i="10" s="1"/>
  <c r="I43" i="10" s="1"/>
  <c r="I44" i="10" s="1"/>
  <c r="I45" i="10" s="1"/>
  <c r="I46" i="10" s="1"/>
  <c r="I47" i="10" s="1"/>
  <c r="I48" i="10" s="1"/>
  <c r="I49" i="10" s="1"/>
  <c r="I50" i="10" s="1"/>
  <c r="I51" i="10" s="1"/>
  <c r="I52" i="10" s="1"/>
  <c r="I53" i="10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K52" i="1"/>
  <c r="AS52" i="1" s="1"/>
  <c r="AH52" i="1"/>
  <c r="AP52" i="1" s="1"/>
  <c r="AF52" i="1"/>
  <c r="AN52" i="1" s="1"/>
  <c r="AD52" i="1"/>
  <c r="AL52" i="1" s="1"/>
  <c r="Z52" i="1"/>
  <c r="AL2" i="1" l="1"/>
  <c r="AO2" i="1"/>
  <c r="AQ2" i="1"/>
  <c r="Y2" i="1"/>
  <c r="F3" i="1"/>
  <c r="Z3" i="1" s="1"/>
  <c r="Y3" i="1"/>
  <c r="F2" i="1"/>
  <c r="Z2" i="1" s="1"/>
  <c r="AE52" i="1"/>
  <c r="AM52" i="1" s="1"/>
  <c r="AC52" i="1"/>
  <c r="AA52" i="1"/>
  <c r="AB52" i="1"/>
  <c r="Y52" i="1"/>
  <c r="AG52" i="1"/>
  <c r="AO52" i="1" s="1"/>
  <c r="AI20" i="1" l="1"/>
  <c r="AQ20" i="1" s="1"/>
  <c r="AI3" i="1"/>
  <c r="AI4" i="1"/>
  <c r="AQ4" i="1" s="1"/>
  <c r="AI5" i="1"/>
  <c r="AQ5" i="1" s="1"/>
  <c r="AI6" i="1"/>
  <c r="AQ6" i="1" s="1"/>
  <c r="AI7" i="1"/>
  <c r="AQ7" i="1" s="1"/>
  <c r="AI10" i="1"/>
  <c r="AQ10" i="1" s="1"/>
  <c r="AI11" i="1"/>
  <c r="AQ11" i="1" s="1"/>
  <c r="AI12" i="1"/>
  <c r="AQ12" i="1" s="1"/>
  <c r="AI13" i="1"/>
  <c r="AQ13" i="1" s="1"/>
  <c r="AI15" i="1"/>
  <c r="AQ15" i="1" s="1"/>
  <c r="AI16" i="1"/>
  <c r="AQ16" i="1" s="1"/>
  <c r="AI17" i="1"/>
  <c r="AQ17" i="1" s="1"/>
  <c r="AI18" i="1"/>
  <c r="AQ18" i="1" s="1"/>
  <c r="AI19" i="1"/>
  <c r="AQ19" i="1" s="1"/>
  <c r="AI21" i="1"/>
  <c r="AQ21" i="1" s="1"/>
  <c r="AI22" i="1"/>
  <c r="AQ22" i="1" s="1"/>
  <c r="AI23" i="1"/>
  <c r="AQ23" i="1" s="1"/>
  <c r="AI24" i="1"/>
  <c r="AQ24" i="1" s="1"/>
  <c r="AI25" i="1"/>
  <c r="AQ25" i="1" s="1"/>
  <c r="AI26" i="1"/>
  <c r="AQ26" i="1" s="1"/>
  <c r="AI27" i="1"/>
  <c r="AQ27" i="1" s="1"/>
  <c r="AI30" i="1"/>
  <c r="AQ30" i="1" s="1"/>
  <c r="AI31" i="1"/>
  <c r="AQ31" i="1" s="1"/>
  <c r="AI32" i="1"/>
  <c r="AQ32" i="1" s="1"/>
  <c r="AI33" i="1"/>
  <c r="AQ33" i="1" s="1"/>
  <c r="AI34" i="1"/>
  <c r="AQ34" i="1" s="1"/>
  <c r="AI35" i="1"/>
  <c r="AQ35" i="1" s="1"/>
  <c r="AI36" i="1"/>
  <c r="AQ36" i="1" s="1"/>
  <c r="AI37" i="1"/>
  <c r="AQ37" i="1" s="1"/>
  <c r="AI38" i="1"/>
  <c r="AQ38" i="1" s="1"/>
  <c r="AI39" i="1"/>
  <c r="AQ39" i="1" s="1"/>
  <c r="AI40" i="1"/>
  <c r="AQ40" i="1" s="1"/>
  <c r="AI41" i="1"/>
  <c r="AQ41" i="1" s="1"/>
  <c r="AI42" i="1"/>
  <c r="AQ42" i="1" s="1"/>
  <c r="AI43" i="1"/>
  <c r="AQ43" i="1" s="1"/>
  <c r="AI44" i="1"/>
  <c r="AQ44" i="1" s="1"/>
  <c r="AI45" i="1"/>
  <c r="AQ45" i="1" s="1"/>
  <c r="AI46" i="1"/>
  <c r="AQ46" i="1" s="1"/>
  <c r="AI47" i="1"/>
  <c r="AQ47" i="1" s="1"/>
  <c r="AI48" i="1"/>
  <c r="AQ48" i="1" s="1"/>
  <c r="AI49" i="1"/>
  <c r="AQ49" i="1" s="1"/>
  <c r="AI50" i="1"/>
  <c r="AQ50" i="1" s="1"/>
  <c r="Y8" i="1"/>
  <c r="AD12" i="1"/>
  <c r="X15" i="1"/>
  <c r="Z17" i="1"/>
  <c r="Z18" i="1"/>
  <c r="X20" i="1"/>
  <c r="X22" i="1"/>
  <c r="X23" i="1"/>
  <c r="Y24" i="1"/>
  <c r="X25" i="1"/>
  <c r="X30" i="1"/>
  <c r="X31" i="1"/>
  <c r="AE34" i="1"/>
  <c r="AE36" i="1"/>
  <c r="X38" i="1"/>
  <c r="X39" i="1"/>
  <c r="X40" i="1"/>
  <c r="AD43" i="1"/>
  <c r="AD47" i="1"/>
  <c r="X48" i="1"/>
  <c r="X51" i="1"/>
  <c r="Y22" i="1"/>
  <c r="Z8" i="1"/>
  <c r="Z20" i="1"/>
  <c r="Z22" i="1"/>
  <c r="Z23" i="1"/>
  <c r="Z24" i="1"/>
  <c r="Z25" i="1"/>
  <c r="Z30" i="1"/>
  <c r="Z31" i="1"/>
  <c r="Z37" i="1"/>
  <c r="Z38" i="1"/>
  <c r="Z39" i="1"/>
  <c r="Z40" i="1"/>
  <c r="Z44" i="1"/>
  <c r="Z46" i="1"/>
  <c r="Z49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30" i="1"/>
  <c r="AC31" i="1"/>
  <c r="AC34" i="1"/>
  <c r="AC35" i="1"/>
  <c r="AC36" i="1"/>
  <c r="AC37" i="1"/>
  <c r="AC38" i="1"/>
  <c r="AC39" i="1"/>
  <c r="AC41" i="1"/>
  <c r="AC42" i="1"/>
  <c r="AC43" i="1"/>
  <c r="AC44" i="1"/>
  <c r="AC45" i="1"/>
  <c r="AC46" i="1"/>
  <c r="AC47" i="1"/>
  <c r="AC48" i="1"/>
  <c r="AC50" i="1"/>
  <c r="AC51" i="1"/>
  <c r="AD4" i="1"/>
  <c r="AD5" i="1"/>
  <c r="AD7" i="1"/>
  <c r="AD8" i="1"/>
  <c r="AD9" i="1"/>
  <c r="AD10" i="1"/>
  <c r="AD11" i="1"/>
  <c r="AD13" i="1"/>
  <c r="AD14" i="1"/>
  <c r="AD15" i="1"/>
  <c r="AD16" i="1"/>
  <c r="AD17" i="1"/>
  <c r="AD20" i="1"/>
  <c r="AD22" i="1"/>
  <c r="AD23" i="1"/>
  <c r="AD24" i="1"/>
  <c r="AD25" i="1"/>
  <c r="AD26" i="1"/>
  <c r="AD27" i="1"/>
  <c r="AD30" i="1"/>
  <c r="AD31" i="1"/>
  <c r="AE32" i="1"/>
  <c r="AD37" i="1"/>
  <c r="AD38" i="1"/>
  <c r="AD39" i="1"/>
  <c r="AD40" i="1"/>
  <c r="AD44" i="1"/>
  <c r="AD46" i="1"/>
  <c r="AD49" i="1"/>
  <c r="AE4" i="1"/>
  <c r="AE5" i="1"/>
  <c r="AE6" i="1"/>
  <c r="AE7" i="1"/>
  <c r="AE8" i="1"/>
  <c r="AE9" i="1"/>
  <c r="AE10" i="1"/>
  <c r="AE14" i="1"/>
  <c r="AE16" i="1"/>
  <c r="AE20" i="1"/>
  <c r="AE22" i="1"/>
  <c r="AE23" i="1"/>
  <c r="AE24" i="1"/>
  <c r="AE25" i="1"/>
  <c r="AE30" i="1"/>
  <c r="AE37" i="1"/>
  <c r="AE38" i="1"/>
  <c r="AE39" i="1"/>
  <c r="AE40" i="1"/>
  <c r="AE44" i="1"/>
  <c r="AE49" i="1"/>
  <c r="AG3" i="1"/>
  <c r="AH3" i="1"/>
  <c r="AG4" i="1"/>
  <c r="AH4" i="1"/>
  <c r="AH5" i="1"/>
  <c r="AG6" i="1"/>
  <c r="AG7" i="1"/>
  <c r="AH7" i="1"/>
  <c r="AG8" i="1"/>
  <c r="AH8" i="1"/>
  <c r="AG10" i="1"/>
  <c r="AG11" i="1"/>
  <c r="AH11" i="1"/>
  <c r="AH12" i="1"/>
  <c r="AG13" i="1"/>
  <c r="AH14" i="1"/>
  <c r="AH15" i="1"/>
  <c r="AH16" i="1"/>
  <c r="AH17" i="1"/>
  <c r="AG18" i="1"/>
  <c r="AH18" i="1"/>
  <c r="AG19" i="1"/>
  <c r="AH19" i="1"/>
  <c r="AG20" i="1"/>
  <c r="AH20" i="1"/>
  <c r="AG21" i="1"/>
  <c r="AH21" i="1"/>
  <c r="AG22" i="1"/>
  <c r="AH23" i="1"/>
  <c r="AG24" i="1"/>
  <c r="AH24" i="1"/>
  <c r="AH25" i="1"/>
  <c r="AA26" i="1"/>
  <c r="AH26" i="1"/>
  <c r="AG27" i="1"/>
  <c r="AH27" i="1"/>
  <c r="AG30" i="1"/>
  <c r="AH30" i="1"/>
  <c r="AH31" i="1"/>
  <c r="AH32" i="1"/>
  <c r="AH33" i="1"/>
  <c r="AH34" i="1"/>
  <c r="AA35" i="1"/>
  <c r="AH36" i="1"/>
  <c r="AA37" i="1"/>
  <c r="AH37" i="1"/>
  <c r="AG38" i="1"/>
  <c r="AH38" i="1"/>
  <c r="AG39" i="1"/>
  <c r="AH39" i="1"/>
  <c r="AH40" i="1"/>
  <c r="AG41" i="1"/>
  <c r="AH41" i="1"/>
  <c r="AA42" i="1"/>
  <c r="AH42" i="1"/>
  <c r="AH43" i="1"/>
  <c r="AG44" i="1"/>
  <c r="AH44" i="1"/>
  <c r="AG45" i="1"/>
  <c r="AH45" i="1"/>
  <c r="AH47" i="1"/>
  <c r="AH48" i="1"/>
  <c r="AG49" i="1"/>
  <c r="AH49" i="1"/>
  <c r="AG50" i="1"/>
  <c r="AH50" i="1"/>
  <c r="AA51" i="1"/>
  <c r="AB8" i="1"/>
  <c r="AB10" i="1"/>
  <c r="AB11" i="1"/>
  <c r="AB12" i="1"/>
  <c r="AB13" i="1"/>
  <c r="AB14" i="1"/>
  <c r="AB15" i="1"/>
  <c r="AB17" i="1"/>
  <c r="AB18" i="1"/>
  <c r="AB19" i="1"/>
  <c r="AB20" i="1"/>
  <c r="AB21" i="1"/>
  <c r="AB22" i="1"/>
  <c r="AB23" i="1"/>
  <c r="AB24" i="1"/>
  <c r="AB25" i="1"/>
  <c r="AB26" i="1"/>
  <c r="AB27" i="1"/>
  <c r="AB30" i="1"/>
  <c r="AB31" i="1"/>
  <c r="AB32" i="1"/>
  <c r="AB33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F3" i="1"/>
  <c r="AF4" i="1"/>
  <c r="AF5" i="1"/>
  <c r="AF6" i="1"/>
  <c r="AF7" i="1"/>
  <c r="AF8" i="1"/>
  <c r="AF10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8" i="1"/>
  <c r="AF49" i="1"/>
  <c r="AF50" i="1"/>
  <c r="AF51" i="1"/>
  <c r="AH35" i="1"/>
  <c r="AH46" i="1"/>
  <c r="AH51" i="1"/>
  <c r="AJ3" i="1"/>
  <c r="AJ4" i="1"/>
  <c r="AR4" i="1" s="1"/>
  <c r="AJ5" i="1"/>
  <c r="AR5" i="1" s="1"/>
  <c r="AJ6" i="1"/>
  <c r="AR6" i="1" s="1"/>
  <c r="AJ7" i="1"/>
  <c r="AR7" i="1" s="1"/>
  <c r="AJ8" i="1"/>
  <c r="AR8" i="1" s="1"/>
  <c r="AJ11" i="1"/>
  <c r="AR11" i="1" s="1"/>
  <c r="AJ12" i="1"/>
  <c r="AR12" i="1" s="1"/>
  <c r="AJ13" i="1"/>
  <c r="AR13" i="1" s="1"/>
  <c r="AJ15" i="1"/>
  <c r="AR15" i="1" s="1"/>
  <c r="AJ16" i="1"/>
  <c r="AR16" i="1" s="1"/>
  <c r="AJ17" i="1"/>
  <c r="AR17" i="1" s="1"/>
  <c r="AJ18" i="1"/>
  <c r="AR18" i="1" s="1"/>
  <c r="AJ19" i="1"/>
  <c r="AR19" i="1" s="1"/>
  <c r="AJ20" i="1"/>
  <c r="AR20" i="1" s="1"/>
  <c r="AJ21" i="1"/>
  <c r="AR21" i="1" s="1"/>
  <c r="AJ22" i="1"/>
  <c r="AR22" i="1" s="1"/>
  <c r="AJ23" i="1"/>
  <c r="AR23" i="1" s="1"/>
  <c r="AJ24" i="1"/>
  <c r="AR24" i="1" s="1"/>
  <c r="AJ25" i="1"/>
  <c r="AR25" i="1" s="1"/>
  <c r="AJ26" i="1"/>
  <c r="AR26" i="1" s="1"/>
  <c r="AJ27" i="1"/>
  <c r="AR27" i="1" s="1"/>
  <c r="AJ30" i="1"/>
  <c r="AR30" i="1" s="1"/>
  <c r="AJ31" i="1"/>
  <c r="AR31" i="1" s="1"/>
  <c r="AJ32" i="1"/>
  <c r="AR32" i="1" s="1"/>
  <c r="AJ33" i="1"/>
  <c r="AR33" i="1" s="1"/>
  <c r="AJ34" i="1"/>
  <c r="AR34" i="1" s="1"/>
  <c r="AJ35" i="1"/>
  <c r="AR35" i="1" s="1"/>
  <c r="AJ36" i="1"/>
  <c r="AR36" i="1" s="1"/>
  <c r="AJ37" i="1"/>
  <c r="AR37" i="1" s="1"/>
  <c r="AJ38" i="1"/>
  <c r="AR38" i="1" s="1"/>
  <c r="AJ39" i="1"/>
  <c r="AR39" i="1" s="1"/>
  <c r="AJ40" i="1"/>
  <c r="AR40" i="1" s="1"/>
  <c r="AJ41" i="1"/>
  <c r="AR41" i="1" s="1"/>
  <c r="AJ42" i="1"/>
  <c r="AR42" i="1" s="1"/>
  <c r="AJ43" i="1"/>
  <c r="AR43" i="1" s="1"/>
  <c r="AJ44" i="1"/>
  <c r="AR44" i="1" s="1"/>
  <c r="AJ45" i="1"/>
  <c r="AR45" i="1" s="1"/>
  <c r="AJ46" i="1"/>
  <c r="AR46" i="1" s="1"/>
  <c r="AJ47" i="1"/>
  <c r="AR47" i="1" s="1"/>
  <c r="AJ48" i="1"/>
  <c r="AR48" i="1" s="1"/>
  <c r="AJ49" i="1"/>
  <c r="AR49" i="1" s="1"/>
  <c r="AJ50" i="1"/>
  <c r="AR50" i="1" s="1"/>
  <c r="AK3" i="1"/>
  <c r="AK5" i="1"/>
  <c r="AS5" i="1" s="1"/>
  <c r="AK6" i="1"/>
  <c r="AS6" i="1" s="1"/>
  <c r="AK7" i="1"/>
  <c r="AS7" i="1" s="1"/>
  <c r="AK8" i="1"/>
  <c r="AS8" i="1" s="1"/>
  <c r="AK10" i="1"/>
  <c r="AS10" i="1" s="1"/>
  <c r="AK11" i="1"/>
  <c r="AS11" i="1" s="1"/>
  <c r="AK12" i="1"/>
  <c r="AS12" i="1" s="1"/>
  <c r="AK13" i="1"/>
  <c r="AS13" i="1" s="1"/>
  <c r="AK14" i="1"/>
  <c r="AS14" i="1" s="1"/>
  <c r="AK15" i="1"/>
  <c r="AS15" i="1" s="1"/>
  <c r="AK16" i="1"/>
  <c r="AS16" i="1" s="1"/>
  <c r="AK17" i="1"/>
  <c r="AS17" i="1" s="1"/>
  <c r="AK18" i="1"/>
  <c r="AS18" i="1" s="1"/>
  <c r="AK19" i="1"/>
  <c r="AS19" i="1" s="1"/>
  <c r="AK20" i="1"/>
  <c r="AS20" i="1" s="1"/>
  <c r="AK21" i="1"/>
  <c r="AS21" i="1" s="1"/>
  <c r="AK22" i="1"/>
  <c r="AS22" i="1" s="1"/>
  <c r="AK23" i="1"/>
  <c r="AS23" i="1" s="1"/>
  <c r="AK24" i="1"/>
  <c r="AS24" i="1" s="1"/>
  <c r="AK25" i="1"/>
  <c r="AS25" i="1" s="1"/>
  <c r="AK26" i="1"/>
  <c r="AS26" i="1" s="1"/>
  <c r="AK27" i="1"/>
  <c r="AS27" i="1" s="1"/>
  <c r="AK30" i="1"/>
  <c r="AS30" i="1" s="1"/>
  <c r="AK31" i="1"/>
  <c r="AS31" i="1" s="1"/>
  <c r="AK32" i="1"/>
  <c r="AS32" i="1" s="1"/>
  <c r="AK33" i="1"/>
  <c r="AS33" i="1" s="1"/>
  <c r="AK34" i="1"/>
  <c r="AS34" i="1" s="1"/>
  <c r="AK35" i="1"/>
  <c r="AS35" i="1" s="1"/>
  <c r="AK36" i="1"/>
  <c r="AS36" i="1" s="1"/>
  <c r="AK37" i="1"/>
  <c r="AS37" i="1" s="1"/>
  <c r="AK38" i="1"/>
  <c r="AS38" i="1" s="1"/>
  <c r="AK39" i="1"/>
  <c r="AS39" i="1" s="1"/>
  <c r="AK40" i="1"/>
  <c r="AS40" i="1" s="1"/>
  <c r="AK41" i="1"/>
  <c r="AS41" i="1" s="1"/>
  <c r="AK43" i="1"/>
  <c r="AS43" i="1" s="1"/>
  <c r="AK44" i="1"/>
  <c r="AS44" i="1" s="1"/>
  <c r="AK45" i="1"/>
  <c r="AS45" i="1" s="1"/>
  <c r="AK46" i="1"/>
  <c r="AS46" i="1" s="1"/>
  <c r="AK47" i="1"/>
  <c r="AS47" i="1" s="1"/>
  <c r="AK48" i="1"/>
  <c r="AS48" i="1" s="1"/>
  <c r="AK49" i="1"/>
  <c r="AS49" i="1" s="1"/>
  <c r="AK50" i="1"/>
  <c r="AS50" i="1" s="1"/>
  <c r="Y31" i="1"/>
  <c r="AD32" i="1"/>
  <c r="AE51" i="1"/>
  <c r="Y23" i="1"/>
  <c r="AE33" i="1"/>
  <c r="Y20" i="1"/>
  <c r="AD48" i="1"/>
  <c r="AE48" i="1"/>
  <c r="AE3" i="1"/>
  <c r="Z19" i="1"/>
  <c r="Y37" i="1"/>
  <c r="AE26" i="1"/>
  <c r="AA23" i="1"/>
  <c r="AG35" i="1"/>
  <c r="Y39" i="1"/>
  <c r="AE42" i="1"/>
  <c r="Y40" i="1"/>
  <c r="Z11" i="1"/>
  <c r="AA48" i="1"/>
  <c r="AD21" i="1"/>
  <c r="Y25" i="1"/>
  <c r="X50" i="1"/>
  <c r="X14" i="1"/>
  <c r="Z32" i="1"/>
  <c r="AG48" i="1"/>
  <c r="AA12" i="1"/>
  <c r="AE41" i="1"/>
  <c r="AD51" i="1"/>
  <c r="AD41" i="1"/>
  <c r="AC33" i="1"/>
  <c r="Y48" i="1"/>
  <c r="AG42" i="1"/>
  <c r="AG34" i="1"/>
  <c r="AG23" i="1"/>
  <c r="AG14" i="1"/>
  <c r="AA47" i="1"/>
  <c r="AA41" i="1"/>
  <c r="AE50" i="1"/>
  <c r="AE45" i="1"/>
  <c r="AD50" i="1"/>
  <c r="AD45" i="1"/>
  <c r="AD35" i="1"/>
  <c r="Z15" i="1"/>
  <c r="X13" i="1"/>
  <c r="AE17" i="1"/>
  <c r="AD18" i="1"/>
  <c r="Y44" i="1"/>
  <c r="Y12" i="1"/>
  <c r="AG51" i="1"/>
  <c r="AA33" i="1"/>
  <c r="AE18" i="1"/>
  <c r="AE13" i="1"/>
  <c r="AD19" i="1"/>
  <c r="Y49" i="1"/>
  <c r="X19" i="1"/>
  <c r="AG47" i="1"/>
  <c r="AG33" i="1"/>
  <c r="AG17" i="1"/>
  <c r="AA49" i="1"/>
  <c r="AA30" i="1"/>
  <c r="AA21" i="1"/>
  <c r="AE21" i="1"/>
  <c r="AD42" i="1"/>
  <c r="X33" i="1"/>
  <c r="AF47" i="1"/>
  <c r="AE35" i="1"/>
  <c r="Y38" i="1"/>
  <c r="Y30" i="1"/>
  <c r="X45" i="1"/>
  <c r="Z45" i="1"/>
  <c r="Y27" i="1"/>
  <c r="Z14" i="1"/>
  <c r="Y13" i="1"/>
  <c r="Z27" i="1"/>
  <c r="Z48" i="1"/>
  <c r="Y35" i="1"/>
  <c r="Z13" i="1"/>
  <c r="Y14" i="1"/>
  <c r="Z35" i="1"/>
  <c r="Y18" i="1"/>
  <c r="Y42" i="1"/>
  <c r="Y41" i="1"/>
  <c r="Y15" i="1"/>
  <c r="AA46" i="1"/>
  <c r="AG46" i="1"/>
  <c r="AA43" i="1"/>
  <c r="AG43" i="1"/>
  <c r="AA40" i="1"/>
  <c r="AG40" i="1"/>
  <c r="AA31" i="1"/>
  <c r="AG31" i="1"/>
  <c r="AA25" i="1"/>
  <c r="AG25" i="1"/>
  <c r="AH10" i="1"/>
  <c r="AA10" i="1"/>
  <c r="AG5" i="1"/>
  <c r="AH13" i="1"/>
  <c r="AA13" i="1"/>
  <c r="AA15" i="1"/>
  <c r="AG15" i="1"/>
  <c r="AG12" i="1"/>
  <c r="AA36" i="1"/>
  <c r="AG36" i="1"/>
  <c r="AG16" i="1"/>
  <c r="AH6" i="1"/>
  <c r="Z33" i="1"/>
  <c r="Y33" i="1"/>
  <c r="AG32" i="1"/>
  <c r="AA22" i="1"/>
  <c r="AH22" i="1"/>
  <c r="AA39" i="1"/>
  <c r="AA24" i="1"/>
  <c r="AA8" i="1"/>
  <c r="AC32" i="1"/>
  <c r="Y51" i="1"/>
  <c r="AA50" i="1"/>
  <c r="Z21" i="1"/>
  <c r="Y21" i="1"/>
  <c r="X47" i="1"/>
  <c r="AE47" i="1"/>
  <c r="AE43" i="1"/>
  <c r="X41" i="1"/>
  <c r="Z41" i="1"/>
  <c r="Y36" i="1"/>
  <c r="AD36" i="1"/>
  <c r="X34" i="1"/>
  <c r="AD34" i="1"/>
  <c r="AE27" i="1"/>
  <c r="AE11" i="1"/>
  <c r="Y50" i="1"/>
  <c r="Y19" i="1"/>
  <c r="X11" i="1"/>
  <c r="Y45" i="1"/>
  <c r="Y32" i="1"/>
  <c r="Y17" i="1"/>
  <c r="Y11" i="1"/>
  <c r="X24" i="1"/>
  <c r="X10" i="1"/>
  <c r="X8" i="1"/>
  <c r="X46" i="1"/>
  <c r="Y46" i="1"/>
  <c r="X26" i="1"/>
  <c r="Z50" i="1"/>
  <c r="X32" i="1"/>
  <c r="AD33" i="1"/>
  <c r="Z12" i="1"/>
  <c r="Z34" i="1"/>
  <c r="Y34" i="1"/>
  <c r="Y47" i="1"/>
  <c r="Z47" i="1"/>
  <c r="Y10" i="1"/>
  <c r="Z10" i="1"/>
  <c r="X36" i="1"/>
  <c r="Z36" i="1"/>
  <c r="X43" i="1"/>
  <c r="Y43" i="1"/>
  <c r="Z43" i="1"/>
  <c r="Y26" i="1"/>
  <c r="Z26" i="1"/>
  <c r="AP46" i="1" l="1"/>
  <c r="AN49" i="1"/>
  <c r="AN44" i="1"/>
  <c r="AN40" i="1"/>
  <c r="AN36" i="1"/>
  <c r="AN32" i="1"/>
  <c r="AN26" i="1"/>
  <c r="AN22" i="1"/>
  <c r="AN14" i="1"/>
  <c r="AN8" i="1"/>
  <c r="AN4" i="1"/>
  <c r="AL34" i="1"/>
  <c r="AM18" i="1"/>
  <c r="AM45" i="1"/>
  <c r="AO14" i="1"/>
  <c r="AM41" i="1"/>
  <c r="AL48" i="1"/>
  <c r="AM51" i="1"/>
  <c r="AN18" i="1"/>
  <c r="AP22" i="1"/>
  <c r="AP10" i="1"/>
  <c r="AM35" i="1"/>
  <c r="AM21" i="1"/>
  <c r="AO17" i="1"/>
  <c r="AL18" i="1"/>
  <c r="AL35" i="1"/>
  <c r="AM50" i="1"/>
  <c r="AO23" i="1"/>
  <c r="AO35" i="1"/>
  <c r="AO43" i="1"/>
  <c r="AL42" i="1"/>
  <c r="AL33" i="1"/>
  <c r="AP6" i="1"/>
  <c r="AP13" i="1"/>
  <c r="AO25" i="1"/>
  <c r="AO40" i="1"/>
  <c r="AO46" i="1"/>
  <c r="AN47" i="1"/>
  <c r="AO33" i="1"/>
  <c r="AL19" i="1"/>
  <c r="AO51" i="1"/>
  <c r="AM17" i="1"/>
  <c r="AL45" i="1"/>
  <c r="AO34" i="1"/>
  <c r="AL41" i="1"/>
  <c r="AO48" i="1"/>
  <c r="AM3" i="1"/>
  <c r="AO36" i="1"/>
  <c r="AO31" i="1"/>
  <c r="AM11" i="1"/>
  <c r="AL36" i="1"/>
  <c r="AM43" i="1"/>
  <c r="AO12" i="1"/>
  <c r="AM27" i="1"/>
  <c r="AM47" i="1"/>
  <c r="AO32" i="1"/>
  <c r="AO16" i="1"/>
  <c r="AO15" i="1"/>
  <c r="AO5" i="1"/>
  <c r="AO47" i="1"/>
  <c r="AM13" i="1"/>
  <c r="AL50" i="1"/>
  <c r="AO42" i="1"/>
  <c r="AL51" i="1"/>
  <c r="AL21" i="1"/>
  <c r="AM42" i="1"/>
  <c r="AM26" i="1"/>
  <c r="AM48" i="1"/>
  <c r="AP49" i="1"/>
  <c r="AP45" i="1"/>
  <c r="AP43" i="1"/>
  <c r="AO41" i="1"/>
  <c r="AP38" i="1"/>
  <c r="AP36" i="1"/>
  <c r="AP32" i="1"/>
  <c r="AP27" i="1"/>
  <c r="AP25" i="1"/>
  <c r="AO22" i="1"/>
  <c r="AO20" i="1"/>
  <c r="AO18" i="1"/>
  <c r="AP14" i="1"/>
  <c r="AO11" i="1"/>
  <c r="AP7" i="1"/>
  <c r="AP4" i="1"/>
  <c r="AM49" i="1"/>
  <c r="AM38" i="1"/>
  <c r="AM24" i="1"/>
  <c r="AM16" i="1"/>
  <c r="AM8" i="1"/>
  <c r="AM4" i="1"/>
  <c r="AL40" i="1"/>
  <c r="AM32" i="1"/>
  <c r="AL26" i="1"/>
  <c r="AL22" i="1"/>
  <c r="AL15" i="1"/>
  <c r="AL10" i="1"/>
  <c r="AL5" i="1"/>
  <c r="AM34" i="1"/>
  <c r="AL32" i="1"/>
  <c r="AP35" i="1"/>
  <c r="AN48" i="1"/>
  <c r="AN43" i="1"/>
  <c r="AN39" i="1"/>
  <c r="AN35" i="1"/>
  <c r="AN31" i="1"/>
  <c r="AN25" i="1"/>
  <c r="AN21" i="1"/>
  <c r="AN17" i="1"/>
  <c r="AN13" i="1"/>
  <c r="AN7" i="1"/>
  <c r="AN3" i="1"/>
  <c r="AO49" i="1"/>
  <c r="AO45" i="1"/>
  <c r="AP42" i="1"/>
  <c r="AP40" i="1"/>
  <c r="AO38" i="1"/>
  <c r="AP31" i="1"/>
  <c r="AO27" i="1"/>
  <c r="AP24" i="1"/>
  <c r="AP21" i="1"/>
  <c r="AP19" i="1"/>
  <c r="AP17" i="1"/>
  <c r="AO13" i="1"/>
  <c r="AO10" i="1"/>
  <c r="AO7" i="1"/>
  <c r="AO4" i="1"/>
  <c r="AM44" i="1"/>
  <c r="AM37" i="1"/>
  <c r="AM23" i="1"/>
  <c r="AM14" i="1"/>
  <c r="AM7" i="1"/>
  <c r="AL49" i="1"/>
  <c r="AL39" i="1"/>
  <c r="AL31" i="1"/>
  <c r="AL25" i="1"/>
  <c r="AL20" i="1"/>
  <c r="AL14" i="1"/>
  <c r="AL9" i="1"/>
  <c r="AL4" i="1"/>
  <c r="AM33" i="1"/>
  <c r="AR3" i="1"/>
  <c r="AN51" i="1"/>
  <c r="AN46" i="1"/>
  <c r="AN42" i="1"/>
  <c r="AN38" i="1"/>
  <c r="AN34" i="1"/>
  <c r="AN30" i="1"/>
  <c r="AN24" i="1"/>
  <c r="AN20" i="1"/>
  <c r="AN16" i="1"/>
  <c r="AN12" i="1"/>
  <c r="AN6" i="1"/>
  <c r="AP50" i="1"/>
  <c r="AP48" i="1"/>
  <c r="AP44" i="1"/>
  <c r="AP39" i="1"/>
  <c r="AP37" i="1"/>
  <c r="AP34" i="1"/>
  <c r="AP30" i="1"/>
  <c r="AP26" i="1"/>
  <c r="AO24" i="1"/>
  <c r="AO21" i="1"/>
  <c r="AO19" i="1"/>
  <c r="AP16" i="1"/>
  <c r="AP12" i="1"/>
  <c r="AP8" i="1"/>
  <c r="AO6" i="1"/>
  <c r="AP3" i="1"/>
  <c r="AM40" i="1"/>
  <c r="AM30" i="1"/>
  <c r="AM22" i="1"/>
  <c r="AM10" i="1"/>
  <c r="AM6" i="1"/>
  <c r="AL46" i="1"/>
  <c r="AL38" i="1"/>
  <c r="AL30" i="1"/>
  <c r="AL24" i="1"/>
  <c r="AL17" i="1"/>
  <c r="AL13" i="1"/>
  <c r="AL8" i="1"/>
  <c r="AL47" i="1"/>
  <c r="AQ3" i="1"/>
  <c r="AS3" i="1"/>
  <c r="AP51" i="1"/>
  <c r="AN50" i="1"/>
  <c r="AN45" i="1"/>
  <c r="AN41" i="1"/>
  <c r="AN37" i="1"/>
  <c r="AN33" i="1"/>
  <c r="AN27" i="1"/>
  <c r="AN23" i="1"/>
  <c r="AN19" i="1"/>
  <c r="AN15" i="1"/>
  <c r="AN10" i="1"/>
  <c r="AN5" i="1"/>
  <c r="AO50" i="1"/>
  <c r="AP47" i="1"/>
  <c r="AO44" i="1"/>
  <c r="AP41" i="1"/>
  <c r="AO39" i="1"/>
  <c r="AP33" i="1"/>
  <c r="AO30" i="1"/>
  <c r="AP23" i="1"/>
  <c r="AP20" i="1"/>
  <c r="AP18" i="1"/>
  <c r="AP15" i="1"/>
  <c r="AP11" i="1"/>
  <c r="AO8" i="1"/>
  <c r="AP5" i="1"/>
  <c r="AO3" i="1"/>
  <c r="AM39" i="1"/>
  <c r="AM25" i="1"/>
  <c r="AM20" i="1"/>
  <c r="AM9" i="1"/>
  <c r="AM5" i="1"/>
  <c r="AL44" i="1"/>
  <c r="AL37" i="1"/>
  <c r="AL27" i="1"/>
  <c r="AL23" i="1"/>
  <c r="AL16" i="1"/>
  <c r="AL11" i="1"/>
  <c r="AL7" i="1"/>
  <c r="AL43" i="1"/>
  <c r="AM36" i="1"/>
  <c r="AL12" i="1"/>
  <c r="AB53" i="1"/>
  <c r="AH53" i="1"/>
  <c r="AI53" i="1"/>
  <c r="AK53" i="1"/>
  <c r="AC53" i="1"/>
  <c r="Y20" i="9"/>
  <c r="AJ53" i="1"/>
  <c r="Y53" i="1"/>
  <c r="Y4" i="9"/>
  <c r="AC4" i="9"/>
  <c r="AA4" i="9"/>
  <c r="AB4" i="9"/>
  <c r="Z4" i="9"/>
  <c r="Y21" i="9"/>
  <c r="AC21" i="9"/>
  <c r="Z21" i="9"/>
  <c r="AA21" i="9"/>
  <c r="AB21" i="9"/>
  <c r="AC7" i="9"/>
  <c r="Y7" i="9"/>
  <c r="AB7" i="9"/>
  <c r="AA7" i="9"/>
  <c r="Z7" i="9"/>
  <c r="AC20" i="9"/>
  <c r="AB20" i="9"/>
  <c r="AA20" i="9"/>
  <c r="Z20" i="9"/>
  <c r="AC13" i="9"/>
  <c r="Y13" i="9"/>
  <c r="AB13" i="9"/>
  <c r="AA13" i="9"/>
  <c r="Z13" i="9"/>
  <c r="AB8" i="9"/>
  <c r="AA8" i="9"/>
  <c r="AC8" i="9"/>
  <c r="Z8" i="9"/>
  <c r="Y8" i="9"/>
  <c r="Z19" i="9"/>
  <c r="AC19" i="9"/>
  <c r="Y19" i="9"/>
  <c r="AB19" i="9"/>
  <c r="AA19" i="9"/>
  <c r="AE12" i="1"/>
  <c r="AE19" i="1"/>
  <c r="AD3" i="1"/>
  <c r="AE15" i="1"/>
  <c r="AA19" i="1"/>
  <c r="AA45" i="1"/>
  <c r="AA38" i="1"/>
  <c r="AA17" i="1"/>
  <c r="AA18" i="1"/>
  <c r="X18" i="1"/>
  <c r="AA44" i="1"/>
  <c r="Z51" i="1"/>
  <c r="AA11" i="1"/>
  <c r="AG37" i="1"/>
  <c r="AG26" i="1"/>
  <c r="X37" i="1"/>
  <c r="AA27" i="1"/>
  <c r="X12" i="1"/>
  <c r="AA14" i="1"/>
  <c r="X17" i="1"/>
  <c r="X21" i="1"/>
  <c r="AO26" i="1" l="1"/>
  <c r="AO37" i="1"/>
  <c r="AM12" i="1"/>
  <c r="AL3" i="1"/>
  <c r="AM19" i="1"/>
  <c r="Z53" i="1"/>
  <c r="AM15" i="1"/>
  <c r="X53" i="1"/>
  <c r="AD53" i="1"/>
  <c r="AC22" i="9"/>
  <c r="E44" i="9"/>
  <c r="E21" i="9"/>
  <c r="AG53" i="1"/>
  <c r="AA53" i="1"/>
  <c r="E39" i="9"/>
  <c r="E33" i="9"/>
  <c r="Y3" i="9"/>
  <c r="E35" i="9"/>
  <c r="AE53" i="1"/>
  <c r="E15" i="9"/>
  <c r="E20" i="9"/>
  <c r="E48" i="9"/>
  <c r="E38" i="9"/>
  <c r="E19" i="9"/>
  <c r="E41" i="9"/>
  <c r="Y5" i="9"/>
  <c r="I49" i="9"/>
  <c r="I28" i="9"/>
  <c r="I29" i="9"/>
  <c r="I7" i="9"/>
  <c r="I2" i="9"/>
  <c r="I6" i="9"/>
  <c r="I4" i="9"/>
  <c r="I3" i="9"/>
  <c r="I5" i="9"/>
  <c r="I52" i="9"/>
  <c r="I32" i="9"/>
  <c r="I39" i="9"/>
  <c r="I19" i="9"/>
  <c r="I46" i="9"/>
  <c r="I26" i="9"/>
  <c r="I10" i="9"/>
  <c r="I41" i="9"/>
  <c r="I21" i="9"/>
  <c r="I40" i="9"/>
  <c r="I20" i="9"/>
  <c r="I33" i="9"/>
  <c r="I35" i="9"/>
  <c r="I15" i="9"/>
  <c r="I42" i="9"/>
  <c r="I22" i="9"/>
  <c r="I37" i="9"/>
  <c r="I17" i="9"/>
  <c r="V29" i="9"/>
  <c r="V28" i="9"/>
  <c r="V9" i="9"/>
  <c r="V2" i="9"/>
  <c r="V52" i="9"/>
  <c r="V6" i="9"/>
  <c r="V10" i="9"/>
  <c r="V48" i="9"/>
  <c r="V37" i="9"/>
  <c r="V12" i="9"/>
  <c r="V33" i="9"/>
  <c r="V20" i="9"/>
  <c r="V43" i="9"/>
  <c r="V32" i="9"/>
  <c r="V8" i="9"/>
  <c r="V42" i="9"/>
  <c r="V31" i="9"/>
  <c r="V19" i="9"/>
  <c r="V44" i="9"/>
  <c r="V34" i="9"/>
  <c r="V4" i="9"/>
  <c r="V41" i="9"/>
  <c r="V18" i="9"/>
  <c r="V22" i="9"/>
  <c r="V27" i="9"/>
  <c r="Z3" i="9"/>
  <c r="AB3" i="9"/>
  <c r="AB12" i="9"/>
  <c r="H49" i="9"/>
  <c r="H32" i="9"/>
  <c r="H14" i="9"/>
  <c r="H44" i="9"/>
  <c r="H25" i="9"/>
  <c r="H9" i="9"/>
  <c r="H39" i="9"/>
  <c r="H20" i="9"/>
  <c r="Y24" i="9"/>
  <c r="I24" i="9"/>
  <c r="I48" i="9"/>
  <c r="V24" i="9"/>
  <c r="V40" i="9"/>
  <c r="H15" i="9"/>
  <c r="H38" i="9"/>
  <c r="V46" i="9"/>
  <c r="I13" i="9"/>
  <c r="I50" i="9"/>
  <c r="V3" i="9"/>
  <c r="V45" i="9"/>
  <c r="H16" i="9"/>
  <c r="H51" i="9"/>
  <c r="AA3" i="9"/>
  <c r="I14" i="9"/>
  <c r="I51" i="9"/>
  <c r="V11" i="9"/>
  <c r="H17" i="9"/>
  <c r="I11" i="9"/>
  <c r="I47" i="9"/>
  <c r="V30" i="9"/>
  <c r="H10" i="9"/>
  <c r="H45" i="9"/>
  <c r="I8" i="9"/>
  <c r="I30" i="9"/>
  <c r="H19" i="9"/>
  <c r="H42" i="9"/>
  <c r="E27" i="9"/>
  <c r="E50" i="9"/>
  <c r="E43" i="9"/>
  <c r="I25" i="9"/>
  <c r="V25" i="9"/>
  <c r="V49" i="9"/>
  <c r="H30" i="9"/>
  <c r="E23" i="9"/>
  <c r="AC3" i="9"/>
  <c r="E47" i="9"/>
  <c r="I18" i="9"/>
  <c r="V15" i="9"/>
  <c r="H21" i="9"/>
  <c r="E22" i="9"/>
  <c r="I23" i="9"/>
  <c r="V16" i="9"/>
  <c r="V39" i="9"/>
  <c r="H22" i="9"/>
  <c r="E46" i="9"/>
  <c r="E25" i="9"/>
  <c r="E13" i="9"/>
  <c r="AB22" i="9"/>
  <c r="I12" i="9"/>
  <c r="I36" i="9"/>
  <c r="V5" i="9"/>
  <c r="V17" i="9"/>
  <c r="H23" i="9"/>
  <c r="H50" i="9"/>
  <c r="E51" i="9"/>
  <c r="E32" i="9"/>
  <c r="I31" i="9"/>
  <c r="V36" i="9"/>
  <c r="H35" i="9"/>
  <c r="V51" i="9"/>
  <c r="E12" i="9"/>
  <c r="E8" i="9"/>
  <c r="I34" i="9"/>
  <c r="V23" i="9"/>
  <c r="V47" i="9"/>
  <c r="H36" i="9"/>
  <c r="I27" i="9"/>
  <c r="H26" i="9"/>
  <c r="V13" i="9"/>
  <c r="I16" i="9"/>
  <c r="I44" i="9"/>
  <c r="V21" i="9"/>
  <c r="H33" i="9"/>
  <c r="I9" i="9"/>
  <c r="I45" i="9"/>
  <c r="V14" i="9"/>
  <c r="V38" i="9"/>
  <c r="H12" i="9"/>
  <c r="H47" i="9"/>
  <c r="E30" i="9"/>
  <c r="E37" i="9"/>
  <c r="E26" i="9"/>
  <c r="E11" i="9"/>
  <c r="E45" i="9"/>
  <c r="E16" i="9"/>
  <c r="E24" i="9"/>
  <c r="E17" i="9"/>
  <c r="E18" i="9"/>
  <c r="E34" i="9"/>
  <c r="I38" i="9"/>
  <c r="H40" i="9"/>
  <c r="I43" i="9"/>
  <c r="V7" i="9"/>
  <c r="V26" i="9"/>
  <c r="V50" i="9"/>
  <c r="H41" i="9"/>
  <c r="V35" i="9"/>
  <c r="H34" i="9"/>
  <c r="H3" i="9"/>
  <c r="H29" i="9"/>
  <c r="H28" i="9"/>
  <c r="H7" i="9"/>
  <c r="H5" i="9"/>
  <c r="H6" i="9"/>
  <c r="H4" i="9"/>
  <c r="H2" i="9"/>
  <c r="H52" i="9"/>
  <c r="H11" i="9"/>
  <c r="H27" i="9"/>
  <c r="H46" i="9"/>
  <c r="H8" i="9"/>
  <c r="H24" i="9"/>
  <c r="H43" i="9"/>
  <c r="E28" i="9"/>
  <c r="E29" i="9"/>
  <c r="E5" i="9"/>
  <c r="E7" i="9"/>
  <c r="E9" i="9"/>
  <c r="E6" i="9"/>
  <c r="E4" i="9"/>
  <c r="E52" i="9"/>
  <c r="E2" i="9"/>
  <c r="E3" i="9"/>
  <c r="H13" i="9"/>
  <c r="H31" i="9"/>
  <c r="H48" i="9"/>
  <c r="H18" i="9"/>
  <c r="H37" i="9"/>
  <c r="E49" i="9"/>
  <c r="E14" i="9"/>
  <c r="E10" i="9"/>
  <c r="E31" i="9"/>
  <c r="E40" i="9"/>
  <c r="E42" i="9"/>
  <c r="E36" i="9"/>
  <c r="Z22" i="9"/>
  <c r="AA22" i="9"/>
  <c r="AA24" i="9"/>
  <c r="AB24" i="9"/>
  <c r="Z24" i="9"/>
  <c r="AC24" i="9"/>
  <c r="Z23" i="9"/>
  <c r="AA23" i="9"/>
  <c r="AC23" i="9"/>
  <c r="Y23" i="9"/>
  <c r="AB23" i="9"/>
  <c r="AA5" i="9"/>
  <c r="AC5" i="9"/>
  <c r="Y22" i="9"/>
  <c r="AA12" i="9"/>
  <c r="Y18" i="9"/>
  <c r="Y12" i="9"/>
  <c r="AB18" i="9"/>
  <c r="AC12" i="9"/>
  <c r="AC18" i="9"/>
  <c r="Z12" i="9"/>
  <c r="AA18" i="9"/>
  <c r="Z18" i="9"/>
  <c r="Y6" i="9"/>
  <c r="Z6" i="9"/>
  <c r="AA6" i="9"/>
  <c r="AC6" i="9"/>
  <c r="AB6" i="9"/>
  <c r="AB5" i="9"/>
  <c r="Z5" i="9"/>
  <c r="AA10" i="9"/>
  <c r="AA9" i="9"/>
  <c r="AB9" i="9"/>
  <c r="Z9" i="9"/>
  <c r="AC9" i="9"/>
  <c r="Y9" i="9"/>
  <c r="AB10" i="9"/>
  <c r="Z10" i="9"/>
  <c r="Y10" i="9"/>
  <c r="AC10" i="9"/>
  <c r="D2" i="9" l="1"/>
  <c r="D17" i="9"/>
  <c r="S19" i="9"/>
  <c r="G14" i="9"/>
  <c r="AH14" i="9" s="1"/>
  <c r="Q42" i="9"/>
  <c r="S12" i="9"/>
  <c r="D18" i="9"/>
  <c r="N47" i="9"/>
  <c r="O15" i="9"/>
  <c r="U37" i="9"/>
  <c r="N40" i="9"/>
  <c r="N26" i="9"/>
  <c r="N36" i="9"/>
  <c r="N4" i="9"/>
  <c r="N12" i="9"/>
  <c r="N31" i="9"/>
  <c r="U26" i="9"/>
  <c r="N15" i="9"/>
  <c r="N34" i="9"/>
  <c r="N23" i="9"/>
  <c r="N10" i="9"/>
  <c r="N35" i="9"/>
  <c r="N42" i="9"/>
  <c r="N48" i="9"/>
  <c r="N49" i="9"/>
  <c r="Q3" i="9"/>
  <c r="N18" i="9"/>
  <c r="N46" i="9"/>
  <c r="AC17" i="9"/>
  <c r="G11" i="9"/>
  <c r="AH11" i="9" s="1"/>
  <c r="F6" i="9"/>
  <c r="F28" i="9"/>
  <c r="F29" i="9"/>
  <c r="F7" i="9"/>
  <c r="F4" i="9"/>
  <c r="F9" i="9"/>
  <c r="F52" i="9"/>
  <c r="F5" i="9"/>
  <c r="F3" i="9"/>
  <c r="F2" i="9"/>
  <c r="F42" i="9"/>
  <c r="F12" i="9"/>
  <c r="F11" i="9"/>
  <c r="F39" i="9"/>
  <c r="F20" i="9"/>
  <c r="F44" i="9"/>
  <c r="F17" i="9"/>
  <c r="F10" i="9"/>
  <c r="F35" i="9"/>
  <c r="F8" i="9"/>
  <c r="F13" i="9"/>
  <c r="F34" i="9"/>
  <c r="F27" i="9"/>
  <c r="F30" i="9"/>
  <c r="F46" i="9"/>
  <c r="F43" i="9"/>
  <c r="F41" i="9"/>
  <c r="F37" i="9"/>
  <c r="F47" i="9"/>
  <c r="F49" i="9"/>
  <c r="F38" i="9"/>
  <c r="F18" i="9"/>
  <c r="F50" i="9"/>
  <c r="F15" i="9"/>
  <c r="F40" i="9"/>
  <c r="F36" i="9"/>
  <c r="F22" i="9"/>
  <c r="F25" i="9"/>
  <c r="F14" i="9"/>
  <c r="F24" i="9"/>
  <c r="F48" i="9"/>
  <c r="F31" i="9"/>
  <c r="F45" i="9"/>
  <c r="F19" i="9"/>
  <c r="F16" i="9"/>
  <c r="F23" i="9"/>
  <c r="F26" i="9"/>
  <c r="F21" i="9"/>
  <c r="F32" i="9"/>
  <c r="F33" i="9"/>
  <c r="R28" i="9"/>
  <c r="R29" i="9"/>
  <c r="R6" i="9"/>
  <c r="R2" i="9"/>
  <c r="R52" i="9"/>
  <c r="R36" i="9"/>
  <c r="R37" i="9"/>
  <c r="R23" i="9"/>
  <c r="R11" i="9"/>
  <c r="R34" i="9"/>
  <c r="R21" i="9"/>
  <c r="R22" i="9"/>
  <c r="R10" i="9"/>
  <c r="R42" i="9"/>
  <c r="R49" i="9"/>
  <c r="R31" i="9"/>
  <c r="R20" i="9"/>
  <c r="R45" i="9"/>
  <c r="R41" i="9"/>
  <c r="R35" i="9"/>
  <c r="R32" i="9"/>
  <c r="R38" i="9"/>
  <c r="R24" i="9"/>
  <c r="R13" i="9"/>
  <c r="R4" i="9"/>
  <c r="R43" i="9"/>
  <c r="R33" i="9"/>
  <c r="R50" i="9"/>
  <c r="R51" i="9"/>
  <c r="R18" i="9"/>
  <c r="R46" i="9"/>
  <c r="R27" i="9"/>
  <c r="R25" i="9"/>
  <c r="R9" i="9"/>
  <c r="R47" i="9"/>
  <c r="R19" i="9"/>
  <c r="R8" i="9"/>
  <c r="R44" i="9"/>
  <c r="R15" i="9"/>
  <c r="R48" i="9"/>
  <c r="R39" i="9"/>
  <c r="R17" i="9"/>
  <c r="R12" i="9"/>
  <c r="R7" i="9"/>
  <c r="R26" i="9"/>
  <c r="R5" i="9"/>
  <c r="R30" i="9"/>
  <c r="R16" i="9"/>
  <c r="R40" i="9"/>
  <c r="R14" i="9"/>
  <c r="AC14" i="9"/>
  <c r="N38" i="9"/>
  <c r="N24" i="9"/>
  <c r="N50" i="9"/>
  <c r="G27" i="9"/>
  <c r="AH27" i="9" s="1"/>
  <c r="N5" i="9"/>
  <c r="N3" i="9"/>
  <c r="N32" i="9"/>
  <c r="N11" i="9"/>
  <c r="D12" i="9"/>
  <c r="N51" i="9"/>
  <c r="N16" i="9"/>
  <c r="G17" i="9"/>
  <c r="AH17" i="9" s="1"/>
  <c r="D37" i="9"/>
  <c r="D21" i="9"/>
  <c r="N8" i="9"/>
  <c r="D42" i="9"/>
  <c r="N25" i="9"/>
  <c r="S31" i="9"/>
  <c r="S46" i="9"/>
  <c r="S28" i="9"/>
  <c r="S29" i="9"/>
  <c r="S2" i="9"/>
  <c r="S52" i="9"/>
  <c r="S35" i="9"/>
  <c r="S5" i="9"/>
  <c r="S34" i="9"/>
  <c r="S26" i="9"/>
  <c r="S37" i="9"/>
  <c r="S16" i="9"/>
  <c r="S4" i="9"/>
  <c r="S32" i="9"/>
  <c r="S18" i="9"/>
  <c r="S45" i="9"/>
  <c r="S41" i="9"/>
  <c r="S51" i="9"/>
  <c r="S14" i="9"/>
  <c r="S47" i="9"/>
  <c r="S39" i="9"/>
  <c r="S22" i="9"/>
  <c r="S6" i="9"/>
  <c r="S38" i="9"/>
  <c r="S20" i="9"/>
  <c r="S13" i="9"/>
  <c r="S27" i="9"/>
  <c r="S17" i="9"/>
  <c r="S33" i="9"/>
  <c r="S11" i="9"/>
  <c r="S25" i="9"/>
  <c r="S8" i="9"/>
  <c r="S21" i="9"/>
  <c r="S10" i="9"/>
  <c r="S36" i="9"/>
  <c r="S48" i="9"/>
  <c r="S24" i="9"/>
  <c r="S40" i="9"/>
  <c r="S43" i="9"/>
  <c r="S30" i="9"/>
  <c r="S9" i="9"/>
  <c r="S42" i="9"/>
  <c r="S44" i="9"/>
  <c r="S7" i="9"/>
  <c r="S3" i="9"/>
  <c r="S50" i="9"/>
  <c r="S49" i="9"/>
  <c r="S23" i="9"/>
  <c r="U28" i="9"/>
  <c r="U29" i="9"/>
  <c r="U9" i="9"/>
  <c r="U2" i="9"/>
  <c r="U52" i="9"/>
  <c r="U16" i="9"/>
  <c r="U23" i="9"/>
  <c r="U24" i="9"/>
  <c r="U44" i="9"/>
  <c r="U15" i="9"/>
  <c r="U20" i="9"/>
  <c r="U8" i="9"/>
  <c r="U3" i="9"/>
  <c r="U12" i="9"/>
  <c r="U40" i="9"/>
  <c r="U51" i="9"/>
  <c r="U35" i="9"/>
  <c r="U21" i="9"/>
  <c r="U30" i="9"/>
  <c r="U7" i="9"/>
  <c r="U5" i="9"/>
  <c r="U41" i="9"/>
  <c r="U18" i="9"/>
  <c r="U6" i="9"/>
  <c r="U33" i="9"/>
  <c r="U32" i="9"/>
  <c r="U50" i="9"/>
  <c r="U4" i="9"/>
  <c r="U36" i="9"/>
  <c r="U38" i="9"/>
  <c r="U46" i="9"/>
  <c r="U48" i="9"/>
  <c r="U19" i="9"/>
  <c r="U42" i="9"/>
  <c r="U11" i="9"/>
  <c r="U49" i="9"/>
  <c r="U25" i="9"/>
  <c r="U17" i="9"/>
  <c r="U39" i="9"/>
  <c r="U31" i="9"/>
  <c r="U14" i="9"/>
  <c r="U45" i="9"/>
  <c r="U27" i="9"/>
  <c r="U13" i="9"/>
  <c r="U34" i="9"/>
  <c r="U47" i="9"/>
  <c r="U22" i="9"/>
  <c r="U43" i="9"/>
  <c r="U10" i="9"/>
  <c r="O28" i="9"/>
  <c r="O29" i="9"/>
  <c r="O2" i="9"/>
  <c r="O52" i="9"/>
  <c r="O44" i="9"/>
  <c r="O26" i="9"/>
  <c r="O9" i="9"/>
  <c r="O39" i="9"/>
  <c r="O21" i="9"/>
  <c r="O20" i="9"/>
  <c r="O38" i="9"/>
  <c r="O19" i="9"/>
  <c r="O45" i="9"/>
  <c r="O27" i="9"/>
  <c r="O10" i="9"/>
  <c r="O12" i="9"/>
  <c r="O40" i="9"/>
  <c r="O22" i="9"/>
  <c r="O5" i="9"/>
  <c r="O51" i="9"/>
  <c r="O35" i="9"/>
  <c r="O16" i="9"/>
  <c r="O50" i="9"/>
  <c r="O34" i="9"/>
  <c r="O11" i="9"/>
  <c r="O36" i="9"/>
  <c r="O43" i="9"/>
  <c r="O4" i="9"/>
  <c r="O24" i="9"/>
  <c r="O49" i="9"/>
  <c r="O23" i="9"/>
  <c r="O32" i="9"/>
  <c r="O31" i="9"/>
  <c r="O46" i="9"/>
  <c r="O7" i="9"/>
  <c r="O41" i="9"/>
  <c r="O18" i="9"/>
  <c r="O17" i="9"/>
  <c r="O25" i="9"/>
  <c r="O42" i="9"/>
  <c r="O37" i="9"/>
  <c r="O14" i="9"/>
  <c r="O48" i="9"/>
  <c r="O13" i="9"/>
  <c r="O47" i="9"/>
  <c r="O8" i="9"/>
  <c r="O30" i="9"/>
  <c r="O33" i="9"/>
  <c r="O6" i="9"/>
  <c r="N27" i="9"/>
  <c r="N37" i="9"/>
  <c r="N30" i="9"/>
  <c r="Q7" i="9"/>
  <c r="G19" i="9"/>
  <c r="AH19" i="9" s="1"/>
  <c r="N6" i="9"/>
  <c r="N7" i="9"/>
  <c r="N43" i="9"/>
  <c r="N19" i="9"/>
  <c r="N13" i="9"/>
  <c r="G38" i="9"/>
  <c r="AH38" i="9" s="1"/>
  <c r="D44" i="9"/>
  <c r="D35" i="9"/>
  <c r="D28" i="9"/>
  <c r="D6" i="9"/>
  <c r="D49" i="9"/>
  <c r="D27" i="9"/>
  <c r="D29" i="9"/>
  <c r="D9" i="9"/>
  <c r="D7" i="9"/>
  <c r="D5" i="9"/>
  <c r="D4" i="9"/>
  <c r="D52" i="9"/>
  <c r="D3" i="9"/>
  <c r="D24" i="9"/>
  <c r="D25" i="9"/>
  <c r="D48" i="9"/>
  <c r="D10" i="9"/>
  <c r="D41" i="9"/>
  <c r="D30" i="9"/>
  <c r="D16" i="9"/>
  <c r="D20" i="9"/>
  <c r="D51" i="9"/>
  <c r="D33" i="9"/>
  <c r="D39" i="9"/>
  <c r="D43" i="9"/>
  <c r="D23" i="9"/>
  <c r="D26" i="9"/>
  <c r="D32" i="9"/>
  <c r="D50" i="9"/>
  <c r="D36" i="9"/>
  <c r="D8" i="9"/>
  <c r="D19" i="9"/>
  <c r="D14" i="9"/>
  <c r="D38" i="9"/>
  <c r="D46" i="9"/>
  <c r="D40" i="9"/>
  <c r="D47" i="9"/>
  <c r="D13" i="9"/>
  <c r="D22" i="9"/>
  <c r="D11" i="9"/>
  <c r="D45" i="9"/>
  <c r="D31" i="9"/>
  <c r="D34" i="9"/>
  <c r="D15" i="9"/>
  <c r="O3" i="9"/>
  <c r="N17" i="9"/>
  <c r="N21" i="9"/>
  <c r="S15" i="9"/>
  <c r="R3" i="9"/>
  <c r="G28" i="9"/>
  <c r="AH28" i="9" s="1"/>
  <c r="G34" i="9"/>
  <c r="AH34" i="9" s="1"/>
  <c r="G29" i="9"/>
  <c r="AH29" i="9" s="1"/>
  <c r="G7" i="9"/>
  <c r="AH7" i="9" s="1"/>
  <c r="G5" i="9"/>
  <c r="AH5" i="9" s="1"/>
  <c r="G3" i="9"/>
  <c r="AH3" i="9" s="1"/>
  <c r="G4" i="9"/>
  <c r="AH4" i="9" s="1"/>
  <c r="G9" i="9"/>
  <c r="AH9" i="9" s="1"/>
  <c r="G6" i="9"/>
  <c r="AH6" i="9" s="1"/>
  <c r="G2" i="9"/>
  <c r="AH2" i="9" s="1"/>
  <c r="G52" i="9"/>
  <c r="AH52" i="9" s="1"/>
  <c r="G24" i="9"/>
  <c r="AH24" i="9" s="1"/>
  <c r="G46" i="9"/>
  <c r="AH46" i="9" s="1"/>
  <c r="G22" i="9"/>
  <c r="AH22" i="9" s="1"/>
  <c r="G10" i="9"/>
  <c r="AH10" i="9" s="1"/>
  <c r="G21" i="9"/>
  <c r="AH21" i="9" s="1"/>
  <c r="G23" i="9"/>
  <c r="AH23" i="9" s="1"/>
  <c r="G36" i="9"/>
  <c r="AH36" i="9" s="1"/>
  <c r="G31" i="9"/>
  <c r="AH31" i="9" s="1"/>
  <c r="G33" i="9"/>
  <c r="G43" i="9"/>
  <c r="AH43" i="9" s="1"/>
  <c r="G12" i="9"/>
  <c r="AH12" i="9" s="1"/>
  <c r="G26" i="9"/>
  <c r="AH26" i="9" s="1"/>
  <c r="G47" i="9"/>
  <c r="AH47" i="9" s="1"/>
  <c r="G49" i="9"/>
  <c r="AH49" i="9" s="1"/>
  <c r="G51" i="9"/>
  <c r="AH51" i="9" s="1"/>
  <c r="G20" i="9"/>
  <c r="AH20" i="9" s="1"/>
  <c r="G42" i="9"/>
  <c r="AH42" i="9" s="1"/>
  <c r="G16" i="9"/>
  <c r="AH16" i="9" s="1"/>
  <c r="G15" i="9"/>
  <c r="AH15" i="9" s="1"/>
  <c r="G35" i="9"/>
  <c r="AH35" i="9" s="1"/>
  <c r="G8" i="9"/>
  <c r="AH8" i="9" s="1"/>
  <c r="G41" i="9"/>
  <c r="AH41" i="9" s="1"/>
  <c r="G13" i="9"/>
  <c r="AH13" i="9" s="1"/>
  <c r="G25" i="9"/>
  <c r="AH25" i="9" s="1"/>
  <c r="G30" i="9"/>
  <c r="AH30" i="9" s="1"/>
  <c r="G39" i="9"/>
  <c r="AH39" i="9" s="1"/>
  <c r="G48" i="9"/>
  <c r="AH48" i="9" s="1"/>
  <c r="G32" i="9"/>
  <c r="AH32" i="9" s="1"/>
  <c r="G37" i="9"/>
  <c r="AH37" i="9" s="1"/>
  <c r="G50" i="9"/>
  <c r="AH50" i="9" s="1"/>
  <c r="G40" i="9"/>
  <c r="AH40" i="9" s="1"/>
  <c r="Q4" i="9"/>
  <c r="Q2" i="9"/>
  <c r="Q28" i="9"/>
  <c r="Q29" i="9"/>
  <c r="Q52" i="9"/>
  <c r="Q40" i="9"/>
  <c r="Q22" i="9"/>
  <c r="Q6" i="9"/>
  <c r="Q41" i="9"/>
  <c r="Q19" i="9"/>
  <c r="Q51" i="9"/>
  <c r="Q35" i="9"/>
  <c r="Q17" i="9"/>
  <c r="Q38" i="9"/>
  <c r="Q20" i="9"/>
  <c r="Q36" i="9"/>
  <c r="Q18" i="9"/>
  <c r="Q33" i="9"/>
  <c r="Q15" i="9"/>
  <c r="Q47" i="9"/>
  <c r="Q31" i="9"/>
  <c r="Q13" i="9"/>
  <c r="Q26" i="9"/>
  <c r="Q23" i="9"/>
  <c r="Q39" i="9"/>
  <c r="Q5" i="9"/>
  <c r="Q46" i="9"/>
  <c r="Q24" i="9"/>
  <c r="Q48" i="9"/>
  <c r="Q14" i="9"/>
  <c r="Q49" i="9"/>
  <c r="Q11" i="9"/>
  <c r="Q25" i="9"/>
  <c r="Q16" i="9"/>
  <c r="Q44" i="9"/>
  <c r="Q10" i="9"/>
  <c r="Q45" i="9"/>
  <c r="Q21" i="9"/>
  <c r="Q34" i="9"/>
  <c r="Q12" i="9"/>
  <c r="Q32" i="9"/>
  <c r="Q27" i="9"/>
  <c r="Q43" i="9"/>
  <c r="Q9" i="9"/>
  <c r="Q50" i="9"/>
  <c r="Q30" i="9"/>
  <c r="Q8" i="9"/>
  <c r="N28" i="9"/>
  <c r="N29" i="9"/>
  <c r="N2" i="9"/>
  <c r="N52" i="9"/>
  <c r="N9" i="9"/>
  <c r="P2" i="9"/>
  <c r="P10" i="9"/>
  <c r="P28" i="9"/>
  <c r="P29" i="9"/>
  <c r="P52" i="9"/>
  <c r="P38" i="9"/>
  <c r="P20" i="9"/>
  <c r="P47" i="9"/>
  <c r="P31" i="9"/>
  <c r="P13" i="9"/>
  <c r="P49" i="9"/>
  <c r="P33" i="9"/>
  <c r="P11" i="9"/>
  <c r="P44" i="9"/>
  <c r="P26" i="9"/>
  <c r="P9" i="9"/>
  <c r="P50" i="9"/>
  <c r="P34" i="9"/>
  <c r="P12" i="9"/>
  <c r="P43" i="9"/>
  <c r="P25" i="9"/>
  <c r="P8" i="9"/>
  <c r="P45" i="9"/>
  <c r="P27" i="9"/>
  <c r="P6" i="9"/>
  <c r="P42" i="9"/>
  <c r="P35" i="9"/>
  <c r="P7" i="9"/>
  <c r="P19" i="9"/>
  <c r="P40" i="9"/>
  <c r="P18" i="9"/>
  <c r="P30" i="9"/>
  <c r="P21" i="9"/>
  <c r="P3" i="9"/>
  <c r="P41" i="9"/>
  <c r="P36" i="9"/>
  <c r="P14" i="9"/>
  <c r="P24" i="9"/>
  <c r="P51" i="9"/>
  <c r="P17" i="9"/>
  <c r="P37" i="9"/>
  <c r="P32" i="9"/>
  <c r="P5" i="9"/>
  <c r="P46" i="9"/>
  <c r="P39" i="9"/>
  <c r="P4" i="9"/>
  <c r="P23" i="9"/>
  <c r="P48" i="9"/>
  <c r="P22" i="9"/>
  <c r="N14" i="9"/>
  <c r="P16" i="9"/>
  <c r="G18" i="9"/>
  <c r="AH18" i="9" s="1"/>
  <c r="Q37" i="9"/>
  <c r="P15" i="9"/>
  <c r="N33" i="9"/>
  <c r="N22" i="9"/>
  <c r="N44" i="9"/>
  <c r="G44" i="9"/>
  <c r="AH44" i="9" s="1"/>
  <c r="N39" i="9"/>
  <c r="N41" i="9"/>
  <c r="F51" i="9"/>
  <c r="N20" i="9"/>
  <c r="G45" i="9"/>
  <c r="AH45" i="9" s="1"/>
  <c r="N45" i="9"/>
  <c r="AB17" i="9"/>
  <c r="AA17" i="9"/>
  <c r="Y17" i="9"/>
  <c r="Z17" i="9"/>
  <c r="AH33" i="9"/>
  <c r="Y14" i="9"/>
  <c r="AA14" i="9"/>
  <c r="AB14" i="9"/>
  <c r="Z14" i="9"/>
  <c r="Y15" i="9"/>
  <c r="Z15" i="9"/>
  <c r="AB15" i="9"/>
  <c r="AA15" i="9"/>
  <c r="AC15" i="9"/>
  <c r="AF2" i="9" l="1"/>
  <c r="AJ2" i="9"/>
  <c r="AF35" i="9"/>
  <c r="AJ42" i="9"/>
  <c r="AJ35" i="9"/>
  <c r="AJ28" i="9"/>
  <c r="K15" i="9"/>
  <c r="AJ33" i="9"/>
  <c r="J28" i="9"/>
  <c r="J29" i="9"/>
  <c r="J2" i="9"/>
  <c r="J52" i="9"/>
  <c r="J6" i="9"/>
  <c r="J42" i="9"/>
  <c r="J25" i="9"/>
  <c r="J46" i="9"/>
  <c r="J14" i="9"/>
  <c r="J10" i="9"/>
  <c r="J23" i="9"/>
  <c r="J26" i="9"/>
  <c r="J16" i="9"/>
  <c r="J9" i="9"/>
  <c r="J51" i="9"/>
  <c r="J4" i="9"/>
  <c r="J22" i="9"/>
  <c r="J30" i="9"/>
  <c r="J39" i="9"/>
  <c r="J15" i="9"/>
  <c r="J33" i="9"/>
  <c r="J38" i="9"/>
  <c r="J35" i="9"/>
  <c r="J36" i="9"/>
  <c r="J47" i="9"/>
  <c r="J49" i="9"/>
  <c r="J18" i="9"/>
  <c r="J31" i="9"/>
  <c r="J34" i="9"/>
  <c r="J17" i="9"/>
  <c r="J48" i="9"/>
  <c r="J40" i="9"/>
  <c r="J27" i="9"/>
  <c r="J5" i="9"/>
  <c r="J50" i="9"/>
  <c r="J13" i="9"/>
  <c r="J41" i="9"/>
  <c r="J12" i="9"/>
  <c r="J37" i="9"/>
  <c r="J20" i="9"/>
  <c r="J21" i="9"/>
  <c r="J11" i="9"/>
  <c r="J8" i="9"/>
  <c r="J44" i="9"/>
  <c r="J24" i="9"/>
  <c r="J32" i="9"/>
  <c r="J45" i="9"/>
  <c r="J19" i="9"/>
  <c r="J7" i="9"/>
  <c r="J43" i="9"/>
  <c r="K28" i="9"/>
  <c r="K29" i="9"/>
  <c r="K2" i="9"/>
  <c r="K52" i="9"/>
  <c r="K31" i="9"/>
  <c r="K46" i="9"/>
  <c r="K37" i="9"/>
  <c r="K11" i="9"/>
  <c r="K49" i="9"/>
  <c r="K50" i="9"/>
  <c r="K45" i="9"/>
  <c r="K4" i="9"/>
  <c r="K9" i="9"/>
  <c r="K14" i="9"/>
  <c r="K36" i="9"/>
  <c r="K44" i="9"/>
  <c r="K43" i="9"/>
  <c r="K6" i="9"/>
  <c r="K34" i="9"/>
  <c r="K10" i="9"/>
  <c r="K21" i="9"/>
  <c r="K27" i="9"/>
  <c r="K26" i="9"/>
  <c r="K17" i="9"/>
  <c r="K16" i="9"/>
  <c r="K40" i="9"/>
  <c r="K32" i="9"/>
  <c r="K48" i="9"/>
  <c r="K3" i="9"/>
  <c r="K22" i="9"/>
  <c r="K5" i="9"/>
  <c r="K35" i="9"/>
  <c r="K23" i="9"/>
  <c r="K51" i="9"/>
  <c r="K30" i="9"/>
  <c r="K41" i="9"/>
  <c r="K8" i="9"/>
  <c r="K42" i="9"/>
  <c r="K47" i="9"/>
  <c r="K33" i="9"/>
  <c r="K13" i="9"/>
  <c r="K20" i="9"/>
  <c r="K39" i="9"/>
  <c r="K25" i="9"/>
  <c r="K18" i="9"/>
  <c r="K7" i="9"/>
  <c r="K24" i="9"/>
  <c r="K38" i="9"/>
  <c r="K19" i="9"/>
  <c r="M28" i="9"/>
  <c r="M29" i="9"/>
  <c r="M2" i="9"/>
  <c r="M52" i="9"/>
  <c r="M9" i="9"/>
  <c r="M6" i="9"/>
  <c r="M14" i="9"/>
  <c r="M7" i="9"/>
  <c r="M33" i="9"/>
  <c r="M48" i="9"/>
  <c r="M25" i="9"/>
  <c r="M18" i="9"/>
  <c r="M42" i="9"/>
  <c r="M12" i="9"/>
  <c r="M44" i="9"/>
  <c r="M34" i="9"/>
  <c r="M31" i="9"/>
  <c r="M8" i="9"/>
  <c r="M24" i="9"/>
  <c r="M43" i="9"/>
  <c r="M23" i="9"/>
  <c r="M45" i="9"/>
  <c r="M20" i="9"/>
  <c r="M22" i="9"/>
  <c r="M47" i="9"/>
  <c r="M51" i="9"/>
  <c r="M17" i="9"/>
  <c r="M11" i="9"/>
  <c r="M15" i="9"/>
  <c r="M30" i="9"/>
  <c r="M5" i="9"/>
  <c r="M46" i="9"/>
  <c r="M35" i="9"/>
  <c r="M13" i="9"/>
  <c r="M40" i="9"/>
  <c r="M21" i="9"/>
  <c r="M10" i="9"/>
  <c r="M49" i="9"/>
  <c r="M39" i="9"/>
  <c r="M27" i="9"/>
  <c r="M41" i="9"/>
  <c r="M19" i="9"/>
  <c r="M4" i="9"/>
  <c r="M16" i="9"/>
  <c r="M50" i="9"/>
  <c r="M38" i="9"/>
  <c r="M32" i="9"/>
  <c r="M36" i="9"/>
  <c r="M3" i="9"/>
  <c r="J3" i="9"/>
  <c r="M37" i="9"/>
  <c r="M26" i="9"/>
  <c r="K12" i="9"/>
  <c r="AJ9" i="9"/>
  <c r="AJ15" i="9"/>
  <c r="AF49" i="9"/>
  <c r="AF6" i="9"/>
  <c r="AJ19" i="9"/>
  <c r="AJ47" i="9"/>
  <c r="AF11" i="9"/>
  <c r="AF29" i="9"/>
  <c r="AF13" i="9"/>
  <c r="AF50" i="9"/>
  <c r="AF44" i="9"/>
  <c r="AF46" i="9"/>
  <c r="AF20" i="9"/>
  <c r="AF37" i="9"/>
  <c r="AF25" i="9"/>
  <c r="AF41" i="9"/>
  <c r="AF47" i="9"/>
  <c r="AF18" i="9"/>
  <c r="AF3" i="9"/>
  <c r="AF30" i="9"/>
  <c r="AF12" i="9"/>
  <c r="AF24" i="9"/>
  <c r="AF8" i="9"/>
  <c r="AF38" i="9"/>
  <c r="AF51" i="9"/>
  <c r="AF19" i="9"/>
  <c r="AF40" i="9"/>
  <c r="AF15" i="9"/>
  <c r="AF33" i="9"/>
  <c r="AF28" i="9"/>
  <c r="AF32" i="9"/>
  <c r="AF7" i="9"/>
  <c r="AF48" i="9"/>
  <c r="AF26" i="9"/>
  <c r="AF39" i="9"/>
  <c r="AF21" i="9"/>
  <c r="AF36" i="9"/>
  <c r="AF4" i="9"/>
  <c r="AF17" i="9"/>
  <c r="AF31" i="9"/>
  <c r="AF43" i="9"/>
  <c r="AJ7" i="9"/>
  <c r="AJ14" i="9"/>
  <c r="AJ48" i="9"/>
  <c r="AJ22" i="9"/>
  <c r="AJ5" i="9"/>
  <c r="AJ51" i="9"/>
  <c r="AJ31" i="9"/>
  <c r="AJ3" i="9"/>
  <c r="AJ27" i="9"/>
  <c r="AJ34" i="9"/>
  <c r="AF27" i="9"/>
  <c r="AJ46" i="9"/>
  <c r="AJ8" i="9"/>
  <c r="AJ18" i="9"/>
  <c r="AJ39" i="9"/>
  <c r="AF42" i="9"/>
  <c r="AF10" i="9"/>
  <c r="AF9" i="9"/>
  <c r="AF16" i="9"/>
  <c r="AF14" i="9"/>
  <c r="AJ36" i="9"/>
  <c r="AJ37" i="9"/>
  <c r="AJ16" i="9"/>
  <c r="AJ21" i="9"/>
  <c r="AJ29" i="9"/>
  <c r="AJ50" i="9"/>
  <c r="AJ49" i="9"/>
  <c r="AJ6" i="9"/>
  <c r="AJ52" i="9"/>
  <c r="AJ17" i="9"/>
  <c r="AJ45" i="9"/>
  <c r="AJ23" i="9"/>
  <c r="AJ44" i="9"/>
  <c r="AJ26" i="9"/>
  <c r="AJ12" i="9"/>
  <c r="AJ41" i="9"/>
  <c r="AJ43" i="9"/>
  <c r="AJ11" i="9"/>
  <c r="AJ10" i="9"/>
  <c r="AJ13" i="9"/>
  <c r="AF22" i="9"/>
  <c r="AF23" i="9"/>
  <c r="AF52" i="9"/>
  <c r="AF5" i="9"/>
  <c r="AF45" i="9"/>
  <c r="AF34" i="9"/>
  <c r="AJ25" i="9"/>
  <c r="AJ4" i="9"/>
  <c r="AJ24" i="9"/>
  <c r="AJ40" i="9"/>
  <c r="AJ20" i="9"/>
  <c r="AJ32" i="9"/>
  <c r="AJ30" i="9"/>
  <c r="AJ38" i="9"/>
  <c r="AG8" i="9" l="1"/>
  <c r="AG24" i="9"/>
  <c r="AG7" i="9"/>
  <c r="AG38" i="9"/>
  <c r="AG27" i="9"/>
  <c r="AG32" i="9"/>
  <c r="AG3" i="9"/>
  <c r="AG19" i="9"/>
  <c r="AG52" i="9"/>
  <c r="AG44" i="9"/>
  <c r="AG43" i="9"/>
  <c r="AG13" i="9"/>
  <c r="AG31" i="9"/>
  <c r="AG41" i="9"/>
  <c r="AG22" i="9"/>
  <c r="AG5" i="9"/>
  <c r="AG11" i="9"/>
  <c r="AG28" i="9"/>
  <c r="AG16" i="9"/>
  <c r="AG34" i="9"/>
  <c r="AG20" i="9"/>
  <c r="AG25" i="9"/>
  <c r="AG2" i="9"/>
  <c r="AG9" i="9"/>
  <c r="AG42" i="9"/>
  <c r="AG49" i="9"/>
  <c r="AG51" i="9"/>
  <c r="AG29" i="9"/>
  <c r="AG10" i="9"/>
  <c r="AG46" i="9"/>
  <c r="AG36" i="9"/>
  <c r="AG48" i="9"/>
  <c r="AG37" i="9"/>
  <c r="AG39" i="9"/>
  <c r="AG6" i="9"/>
  <c r="AG23" i="9"/>
  <c r="AG26" i="9"/>
  <c r="AG18" i="9"/>
  <c r="AG12" i="9"/>
  <c r="AG4" i="9"/>
  <c r="AG47" i="9"/>
  <c r="AG14" i="9"/>
  <c r="AG21" i="9"/>
  <c r="AG50" i="9"/>
  <c r="AG33" i="9"/>
  <c r="AG35" i="9"/>
  <c r="AG15" i="9"/>
  <c r="AG17" i="9"/>
  <c r="AG30" i="9"/>
  <c r="AG45" i="9"/>
  <c r="AG40" i="9"/>
  <c r="AF11" i="1" l="1"/>
  <c r="AN11" i="1" l="1"/>
  <c r="AF53" i="1"/>
  <c r="AC11" i="9"/>
  <c r="Z11" i="9"/>
  <c r="Y11" i="9"/>
  <c r="AA11" i="9"/>
  <c r="AB11" i="9"/>
  <c r="T29" i="9" l="1"/>
  <c r="T28" i="9"/>
  <c r="T9" i="9"/>
  <c r="T2" i="9"/>
  <c r="T52" i="9"/>
  <c r="T47" i="9"/>
  <c r="T48" i="9"/>
  <c r="T31" i="9"/>
  <c r="T13" i="9"/>
  <c r="T51" i="9"/>
  <c r="T34" i="9"/>
  <c r="T16" i="9"/>
  <c r="T45" i="9"/>
  <c r="T27" i="9"/>
  <c r="T10" i="9"/>
  <c r="T44" i="9"/>
  <c r="T26" i="9"/>
  <c r="T8" i="9"/>
  <c r="T43" i="9"/>
  <c r="T25" i="9"/>
  <c r="T7" i="9"/>
  <c r="T46" i="9"/>
  <c r="T30" i="9"/>
  <c r="T12" i="9"/>
  <c r="T41" i="9"/>
  <c r="T23" i="9"/>
  <c r="T5" i="9"/>
  <c r="T17" i="9"/>
  <c r="T24" i="9"/>
  <c r="T33" i="9"/>
  <c r="T49" i="9"/>
  <c r="T22" i="9"/>
  <c r="T4" i="9"/>
  <c r="T39" i="9"/>
  <c r="T20" i="9"/>
  <c r="T19" i="9"/>
  <c r="T40" i="9"/>
  <c r="T18" i="9"/>
  <c r="T35" i="9"/>
  <c r="T3" i="9"/>
  <c r="T42" i="9"/>
  <c r="T6" i="9"/>
  <c r="T50" i="9"/>
  <c r="T15" i="9"/>
  <c r="T36" i="9"/>
  <c r="T14" i="9"/>
  <c r="T21" i="9"/>
  <c r="T38" i="9"/>
  <c r="T37" i="9"/>
  <c r="T32" i="9"/>
  <c r="T11" i="9"/>
  <c r="Z16" i="9"/>
  <c r="Y16" i="9"/>
  <c r="AA16" i="9"/>
  <c r="AC16" i="9"/>
  <c r="AB16" i="9"/>
  <c r="L28" i="9" l="1"/>
  <c r="AI28" i="9" s="1"/>
  <c r="L29" i="9"/>
  <c r="AI29" i="9" s="1"/>
  <c r="L52" i="9"/>
  <c r="AI52" i="9" s="1"/>
  <c r="L2" i="9"/>
  <c r="AI2" i="9" s="1"/>
  <c r="L39" i="9"/>
  <c r="AI39" i="9" s="1"/>
  <c r="L16" i="9"/>
  <c r="AI16" i="9" s="1"/>
  <c r="L22" i="9"/>
  <c r="AI22" i="9" s="1"/>
  <c r="L45" i="9"/>
  <c r="AI45" i="9" s="1"/>
  <c r="L47" i="9"/>
  <c r="AI47" i="9" s="1"/>
  <c r="L17" i="9"/>
  <c r="AI17" i="9" s="1"/>
  <c r="L21" i="9"/>
  <c r="AI21" i="9" s="1"/>
  <c r="L3" i="9"/>
  <c r="AI3" i="9" s="1"/>
  <c r="L5" i="9"/>
  <c r="AI5" i="9" s="1"/>
  <c r="L43" i="9"/>
  <c r="AI43" i="9" s="1"/>
  <c r="L49" i="9"/>
  <c r="AI49" i="9" s="1"/>
  <c r="L9" i="9"/>
  <c r="AI9" i="9" s="1"/>
  <c r="L19" i="9"/>
  <c r="AI19" i="9" s="1"/>
  <c r="L18" i="9"/>
  <c r="AI18" i="9" s="1"/>
  <c r="L42" i="9"/>
  <c r="AI42" i="9" s="1"/>
  <c r="L4" i="9"/>
  <c r="AI4" i="9" s="1"/>
  <c r="L27" i="9"/>
  <c r="AI27" i="9" s="1"/>
  <c r="L24" i="9"/>
  <c r="AI24" i="9" s="1"/>
  <c r="L51" i="9"/>
  <c r="AI51" i="9" s="1"/>
  <c r="L44" i="9"/>
  <c r="AI44" i="9" s="1"/>
  <c r="L10" i="9"/>
  <c r="AI10" i="9" s="1"/>
  <c r="L34" i="9"/>
  <c r="AI34" i="9" s="1"/>
  <c r="L46" i="9"/>
  <c r="AI46" i="9" s="1"/>
  <c r="L7" i="9"/>
  <c r="AI7" i="9" s="1"/>
  <c r="L8" i="9"/>
  <c r="AI8" i="9" s="1"/>
  <c r="L37" i="9"/>
  <c r="AI37" i="9" s="1"/>
  <c r="L15" i="9"/>
  <c r="AI15" i="9" s="1"/>
  <c r="L12" i="9"/>
  <c r="AI12" i="9" s="1"/>
  <c r="L41" i="9"/>
  <c r="AI41" i="9" s="1"/>
  <c r="L33" i="9"/>
  <c r="AI33" i="9" s="1"/>
  <c r="L23" i="9"/>
  <c r="AI23" i="9" s="1"/>
  <c r="L31" i="9"/>
  <c r="AI31" i="9" s="1"/>
  <c r="L32" i="9"/>
  <c r="AI32" i="9" s="1"/>
  <c r="L20" i="9"/>
  <c r="AI20" i="9" s="1"/>
  <c r="L35" i="9"/>
  <c r="AI35" i="9" s="1"/>
  <c r="L40" i="9"/>
  <c r="AI40" i="9" s="1"/>
  <c r="L6" i="9"/>
  <c r="AI6" i="9" s="1"/>
  <c r="L36" i="9"/>
  <c r="AI36" i="9" s="1"/>
  <c r="L30" i="9"/>
  <c r="AI30" i="9" s="1"/>
  <c r="L50" i="9"/>
  <c r="AI50" i="9" s="1"/>
  <c r="L26" i="9"/>
  <c r="AI26" i="9" s="1"/>
  <c r="L25" i="9"/>
  <c r="AI25" i="9" s="1"/>
  <c r="L13" i="9"/>
  <c r="AI13" i="9" s="1"/>
  <c r="L48" i="9"/>
  <c r="AI48" i="9" s="1"/>
  <c r="L14" i="9"/>
  <c r="AI14" i="9" s="1"/>
  <c r="L38" i="9"/>
  <c r="AI38" i="9" s="1"/>
  <c r="L11" i="9"/>
  <c r="AI11" i="9" s="1"/>
  <c r="AK11" i="9" l="1"/>
  <c r="AK19" i="9"/>
  <c r="AK50" i="9"/>
  <c r="AK49" i="9"/>
  <c r="AK51" i="9"/>
  <c r="AK25" i="9"/>
  <c r="AK48" i="9"/>
  <c r="AK40" i="9"/>
  <c r="AK39" i="9"/>
  <c r="AK24" i="9"/>
  <c r="AK17" i="9"/>
  <c r="AK34" i="9"/>
  <c r="AK33" i="9"/>
  <c r="AK45" i="9"/>
  <c r="AK37" i="9"/>
  <c r="AK41" i="9"/>
  <c r="AK2" i="9"/>
  <c r="AK29" i="9"/>
  <c r="AK27" i="9"/>
  <c r="AK8" i="9"/>
  <c r="AK36" i="9"/>
  <c r="AK20" i="9"/>
  <c r="AK47" i="9"/>
  <c r="AK28" i="9"/>
  <c r="AK30" i="9"/>
  <c r="AK23" i="9"/>
  <c r="AK46" i="9"/>
  <c r="AK22" i="9"/>
  <c r="AK35" i="9"/>
  <c r="AK21" i="9"/>
  <c r="AK14" i="9"/>
  <c r="AK10" i="9"/>
  <c r="AK12" i="9"/>
  <c r="AK4" i="9"/>
  <c r="AK42" i="9"/>
  <c r="AK7" i="9"/>
  <c r="AK18" i="9"/>
  <c r="AK5" i="9"/>
  <c r="AK15" i="9"/>
  <c r="AK16" i="9"/>
  <c r="AK32" i="9"/>
  <c r="AK13" i="9"/>
  <c r="AK52" i="9"/>
  <c r="AK26" i="9"/>
  <c r="AK3" i="9"/>
  <c r="AK6" i="9"/>
  <c r="AK38" i="9"/>
  <c r="AK44" i="9"/>
  <c r="AK9" i="9"/>
  <c r="AK31" i="9"/>
  <c r="AK43" i="9"/>
</calcChain>
</file>

<file path=xl/comments1.xml><?xml version="1.0" encoding="utf-8"?>
<comments xmlns="http://schemas.openxmlformats.org/spreadsheetml/2006/main">
  <authors>
    <author>Eileen Norcross</author>
  </authors>
  <commentList>
    <comment ref="D1" authorId="0" shape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Units are expressed in thousands for columns D through M, for the purpose of calculating ratios; per capita figures are expressed literally (columns, N through S, for ease of interpretation of per capita dollar amounts.</t>
        </r>
      </text>
    </comment>
    <comment ref="N1" authorId="0" shapeId="0">
      <text>
        <r>
          <rPr>
            <b/>
            <sz val="9"/>
            <color indexed="81"/>
            <rFont val="Verdana"/>
            <family val="2"/>
          </rPr>
          <t>Eileen Norcross:</t>
        </r>
        <r>
          <rPr>
            <sz val="9"/>
            <color indexed="81"/>
            <rFont val="Verdana"/>
            <family val="2"/>
          </rPr>
          <t xml:space="preserve">
Expressed in literal units for per capita calculations</t>
        </r>
      </text>
    </comment>
  </commentList>
</comments>
</file>

<file path=xl/comments2.xml><?xml version="1.0" encoding="utf-8"?>
<comments xmlns="http://schemas.openxmlformats.org/spreadsheetml/2006/main">
  <authors>
    <author>Olivia Gonzalez</author>
    <author>User</author>
  </authors>
  <commentList>
    <comment ref="D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Standardized non-inverses (up to 6)</t>
        </r>
      </text>
    </comment>
    <comment ref="J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inverses (up to 11)</t>
        </r>
      </text>
    </comment>
    <comment ref="R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Standardized non-inverses up to 11</t>
        </r>
      </text>
    </comment>
    <comment ref="AF1" authorId="1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Sum of Standardized values of cash, quick and current ratios</t>
        </r>
      </text>
    </comment>
    <comment ref="AG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the standardized values of the net asset ratio(6), and inverses of long-term liability ratio (7), and long-term liability per capita ratio (8).</t>
        </r>
      </text>
    </comment>
    <comment ref="AH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User:
Sum of standardized values of: change in net assets per capita aka surplus (5), and operating ratio (4)</t>
        </r>
      </text>
    </comment>
    <comment ref="AI1" authorId="0" shapeId="0">
      <text>
        <r>
          <rPr>
            <b/>
            <sz val="9"/>
            <color indexed="81"/>
            <rFont val="Tahoma"/>
            <family val="2"/>
          </rPr>
          <t>Olivia Gonzalez:</t>
        </r>
        <r>
          <rPr>
            <sz val="9"/>
            <color indexed="81"/>
            <rFont val="Tahoma"/>
            <family val="2"/>
          </rPr>
          <t xml:space="preserve">
Sum of the inverse (blue heather) standardized values of tax per capita (9), revenue per capita (10), expenses per capita (11)</t>
        </r>
      </text>
    </comment>
  </commentList>
</comments>
</file>

<file path=xl/sharedStrings.xml><?xml version="1.0" encoding="utf-8"?>
<sst xmlns="http://schemas.openxmlformats.org/spreadsheetml/2006/main" count="735" uniqueCount="258">
  <si>
    <t>Link to CAFR</t>
  </si>
  <si>
    <t>State</t>
    <phoneticPr fontId="1" type="noConversion"/>
  </si>
  <si>
    <t xml:space="preserve">Year </t>
    <phoneticPr fontId="1" type="noConversion"/>
  </si>
  <si>
    <t>C_CE_I</t>
  </si>
  <si>
    <t>C_CE_I_R</t>
    <phoneticPr fontId="1" type="noConversion"/>
  </si>
  <si>
    <t>Total Current Assets</t>
  </si>
  <si>
    <t>Current Liabilities</t>
    <phoneticPr fontId="1" type="noConversion"/>
  </si>
  <si>
    <t>Noncurrent Liabilities</t>
    <phoneticPr fontId="1" type="noConversion"/>
  </si>
  <si>
    <t>Unrestricted Net Assets</t>
    <phoneticPr fontId="1" type="noConversion"/>
  </si>
  <si>
    <t>Restricted Net Assets</t>
    <phoneticPr fontId="1" type="noConversion"/>
  </si>
  <si>
    <t>Total Net Assets</t>
    <phoneticPr fontId="1" type="noConversion"/>
  </si>
  <si>
    <t>Total Assets</t>
    <phoneticPr fontId="1" type="noConversion"/>
  </si>
  <si>
    <t>Total Liabilities</t>
    <phoneticPr fontId="1" type="noConversion"/>
  </si>
  <si>
    <t>Total Taxes</t>
    <phoneticPr fontId="1" type="noConversion"/>
  </si>
  <si>
    <t xml:space="preserve">Total Revenue </t>
    <phoneticPr fontId="1" type="noConversion"/>
  </si>
  <si>
    <t>Total Expenses</t>
    <phoneticPr fontId="1" type="noConversion"/>
  </si>
  <si>
    <t>NonCurrent Liability</t>
    <phoneticPr fontId="1" type="noConversion"/>
  </si>
  <si>
    <t>Change in Net Assets</t>
    <phoneticPr fontId="1" type="noConversion"/>
  </si>
  <si>
    <t>Population</t>
    <phoneticPr fontId="1" type="noConversion"/>
  </si>
  <si>
    <t>1.Cash_ratio</t>
    <phoneticPr fontId="1" type="noConversion"/>
  </si>
  <si>
    <t>2.quick_ratio</t>
    <phoneticPr fontId="1" type="noConversion"/>
  </si>
  <si>
    <t>3.current_ratio</t>
    <phoneticPr fontId="1" type="noConversion"/>
  </si>
  <si>
    <t>4.op_ratio</t>
    <phoneticPr fontId="1" type="noConversion"/>
  </si>
  <si>
    <t>5. surplus_percap</t>
    <phoneticPr fontId="1" type="noConversion"/>
  </si>
  <si>
    <t>6.net_asst_rat</t>
    <phoneticPr fontId="1" type="noConversion"/>
  </si>
  <si>
    <t>7.long_term_liab</t>
    <phoneticPr fontId="1" type="noConversion"/>
  </si>
  <si>
    <t>8.lt_percapita</t>
    <phoneticPr fontId="1" type="noConversion"/>
  </si>
  <si>
    <t>7.long_term_liab (inv)</t>
  </si>
  <si>
    <t>8.lt_percapita (inv)</t>
  </si>
  <si>
    <t>http://comptroller.alabama.gov/pdfs/CAFR/cafr.2013.ala.pdf</t>
  </si>
  <si>
    <t>Alabama</t>
    <phoneticPr fontId="1" type="noConversion"/>
  </si>
  <si>
    <t>N</t>
  </si>
  <si>
    <t>Mean</t>
  </si>
  <si>
    <t>Median</t>
  </si>
  <si>
    <t>S.D.</t>
  </si>
  <si>
    <t>Max</t>
  </si>
  <si>
    <t>Min</t>
  </si>
  <si>
    <t>http://doa.alaska.gov/dof/reports/resource/fy13/2013cafr.pdf</t>
  </si>
  <si>
    <t>Alaska</t>
    <phoneticPr fontId="1" type="noConversion"/>
  </si>
  <si>
    <t>1. Cash Ratio</t>
  </si>
  <si>
    <t>http://www.azauditor.gov/Reports/State_Agencies/StateWideReports/Financial/CAFR/FA_6_30_13/State_Of_Arizona_June30,2013_CAFR.pdf</t>
  </si>
  <si>
    <t>Arizona</t>
    <phoneticPr fontId="1" type="noConversion"/>
  </si>
  <si>
    <t>2. Quick Ratio</t>
  </si>
  <si>
    <t>http://www.dfa.arkansas.gov/offices/accounting/Documents/cafr2013.pdf</t>
  </si>
  <si>
    <t>Arkansas</t>
    <phoneticPr fontId="1" type="noConversion"/>
  </si>
  <si>
    <t>3. Current Ratio</t>
  </si>
  <si>
    <t>http://www.sco.ca.gov/Files-ARD/CAFR/cafr13web.pdf</t>
  </si>
  <si>
    <t>California</t>
    <phoneticPr fontId="1" type="noConversion"/>
  </si>
  <si>
    <t>https://www.colorado.gov/pacific/sites/default/files/CAFR13Fin.pdf</t>
  </si>
  <si>
    <t>Colorado</t>
    <phoneticPr fontId="1" type="noConversion"/>
  </si>
  <si>
    <t>5. Surplus (deficit) per capita</t>
  </si>
  <si>
    <t>http://www.osc.ct.gov/2013cafr/CAFR13.pdf</t>
  </si>
  <si>
    <t>Connecticut</t>
    <phoneticPr fontId="1" type="noConversion"/>
  </si>
  <si>
    <t>6. Net asset ratio</t>
  </si>
  <si>
    <t>http://accounting.delaware.gov/2013cafr.pdf</t>
  </si>
  <si>
    <t>Delaware</t>
    <phoneticPr fontId="1" type="noConversion"/>
  </si>
  <si>
    <t>7. Long-term liability ratio</t>
  </si>
  <si>
    <t>http://www.myfloridacfo.com/Division/AA/Reports/2013CAFR.pdf</t>
  </si>
  <si>
    <t xml:space="preserve">Florida </t>
    <phoneticPr fontId="1" type="noConversion"/>
  </si>
  <si>
    <t>8. Long-term liability per capita</t>
  </si>
  <si>
    <t>http://sao.georgia.gov/sites/sao.georgia.gov/files/related_files/site_page/2013%20CAFR%20Final.pdf</t>
  </si>
  <si>
    <t>Georgia</t>
    <phoneticPr fontId="1" type="noConversion"/>
  </si>
  <si>
    <t>http://ags.hawaii.gov/wp-content/uploads/2012/09/soh-cafr-20130630.pdf</t>
  </si>
  <si>
    <t>Hawaii</t>
    <phoneticPr fontId="1" type="noConversion"/>
  </si>
  <si>
    <t>http://www.sco.idaho.gov/web/DSADoc.nsf/445AA4D1B1EFDC0687257C4B006A6703/$FILE/SCO-2013_Idaho_CAFR.pdf</t>
  </si>
  <si>
    <t>Idaho</t>
  </si>
  <si>
    <t>http://www.ioc.state.il.us/index.cfm/resources/reports/cafr/fy-2013/</t>
  </si>
  <si>
    <t>Illinois</t>
  </si>
  <si>
    <t>7. Long-term liability ratio (inv)</t>
  </si>
  <si>
    <t>http://www.in.gov/auditor/files/Entire_2013_CAFR.pdf</t>
  </si>
  <si>
    <t>Indiana</t>
  </si>
  <si>
    <t>8. Long-term liability per capita (inv)</t>
  </si>
  <si>
    <t>http://das.sae.iowa.gov/financial_reports/</t>
  </si>
  <si>
    <t>Iowa</t>
  </si>
  <si>
    <t>http://admin.ks.gov/docs/default-source/cfo/fiscal-year-2013---comprehensive-annual-financial-report.pdf?sfvrsn=4</t>
  </si>
  <si>
    <t>Kansas</t>
  </si>
  <si>
    <t>http://finance.ky.gov/services/statewideacct/Documents/CAFR/2013%20CAFR%20FOR%20WEB.pdf</t>
  </si>
  <si>
    <t>Kentucky</t>
  </si>
  <si>
    <t>http://www.doa.louisiana.gov/osrap/library/Publications/cafr2013.pdf</t>
  </si>
  <si>
    <t>Louisiana</t>
  </si>
  <si>
    <t>http://www.maine.gov/osc/pdf/finanrept/cafr/cafr2013.pdf</t>
  </si>
  <si>
    <t>Maine</t>
  </si>
  <si>
    <t>http://finances.marylandtaxes.com/static_files/revenue/cafr/cafr2013.pdf</t>
  </si>
  <si>
    <t>Maryland</t>
  </si>
  <si>
    <t>http://www.mass.gov/legis/journal/desktop/2013/cafr.pdf</t>
  </si>
  <si>
    <t>Massachusetts</t>
  </si>
  <si>
    <t>http://www.michigan.gov/documents/budget/CAFR_FY_2013_444277_7.pdf</t>
  </si>
  <si>
    <t>Michigan</t>
  </si>
  <si>
    <t>http://www.mnpera.org/vertical/Sites/%7BCB6D4845-437C-4F52-969E-51305385F40B%7D/uploads/CAFR_2013_Final-2.pdf</t>
  </si>
  <si>
    <t>Minnesota</t>
  </si>
  <si>
    <t>http://www.dfa.state.ms.us/Offices/OFR/BFR%20Files/CAFR%20Files/2013%20CAFR.pdf</t>
  </si>
  <si>
    <t>Mississippi</t>
  </si>
  <si>
    <t>http://www.auditor.mo.gov/contact_oa_cafr.htm</t>
  </si>
  <si>
    <t>Missouri</t>
  </si>
  <si>
    <t>http://accounting.mt.gov/content/cafr/FY13CAFR</t>
  </si>
  <si>
    <t>Montana</t>
  </si>
  <si>
    <t>http://das.nebraska.gov/accounting/cafr/cafr2013.pdf</t>
  </si>
  <si>
    <t>Nebraska</t>
  </si>
  <si>
    <t>http://controller.nv.gov/FinancialReports/CAFR_Download_Page.html</t>
  </si>
  <si>
    <t>Nevada</t>
  </si>
  <si>
    <t>http://www.nh.gov/treasury/Divisions/DocsForms/CAFR_09-30-2013.pdf</t>
  </si>
  <si>
    <t>New Hampshire</t>
  </si>
  <si>
    <t>http://www.nj.gov/treasury/omb/publications/13cafr/pdf/fullcafr2013.pdf</t>
  </si>
  <si>
    <t>New Jersey</t>
  </si>
  <si>
    <t>adjusted for inflation</t>
  </si>
  <si>
    <t>New Mexico</t>
  </si>
  <si>
    <t>http://www.osc.state.ny.us/finance/finreports/2013cafr.pdf</t>
  </si>
  <si>
    <t>New York</t>
  </si>
  <si>
    <t>http://www.ncosc.net/financial/13cafr/2013_Comprehensive_Annual_Financial_Report_bookmarks.pdf</t>
  </si>
  <si>
    <t>North Carolina</t>
  </si>
  <si>
    <t>http://www.nd.gov/fiscal/docs/cafr2013/2013cafr.pdf</t>
  </si>
  <si>
    <t>North Dakota</t>
  </si>
  <si>
    <t>http://obm.ohio.gov/stateaccounting/financialreporting/doc/cafr/2013/cafr_2013.pdf</t>
  </si>
  <si>
    <t>Ohio</t>
  </si>
  <si>
    <t>http://www.ok.gov/OSF/documents/cafr13.pdf</t>
  </si>
  <si>
    <t>Oklahoma</t>
  </si>
  <si>
    <t>http://sos.oregon.gov/audits/Documents/2014-04.pdf</t>
  </si>
  <si>
    <t>Oregon</t>
  </si>
  <si>
    <t>http://www.budget.state.pa.us/portal/server.pt/community/financial_reports/4574</t>
  </si>
  <si>
    <t>Pennsylvania</t>
  </si>
  <si>
    <t>http://controller.admin.ri.gov/documents/Financial%20Reports//115_Comprehensive%20Annual%20Financial%20Report_06-30-2013.pdf</t>
  </si>
  <si>
    <t>Rhode Island</t>
  </si>
  <si>
    <t>http://www.cg.sc.gov/publicationsandreports/Pages/CAFRFY20122013.aspx</t>
  </si>
  <si>
    <t>South Carolina</t>
  </si>
  <si>
    <t>http://bfm.sd.gov/cafr/SD_CAFR_2013.PDF</t>
  </si>
  <si>
    <t>South Dakota</t>
  </si>
  <si>
    <t>http://www.tn.gov/finance/act/cafr_fy2013/cafr_fy13.pdf</t>
  </si>
  <si>
    <t>Tennessee</t>
  </si>
  <si>
    <t>http://www.texastransparency.org/State_Finance/Budget_Finance/Reports/Comprehensive_Annual_Financial/13/pdf/CAFR-2013.pdf</t>
  </si>
  <si>
    <t>Texas</t>
  </si>
  <si>
    <t>http://finance.utah.gov/reporting/documents/13UTCAFR.pdf</t>
  </si>
  <si>
    <t>Utah</t>
  </si>
  <si>
    <t>http://finance.vermont.gov/sites/finance/files/pdf/cafr/2013_CAFR_Final.pdf</t>
  </si>
  <si>
    <t>Vermont</t>
  </si>
  <si>
    <t>http://www.doa.virginia.gov/Financial_Reporting/CAFR/2013/2013CAFR.pdf</t>
  </si>
  <si>
    <t>Virginia</t>
  </si>
  <si>
    <t>http://www.ofm.wa.gov/cafr/2013/CAFR13.pdf</t>
  </si>
  <si>
    <t>Washington</t>
  </si>
  <si>
    <t>http://www.wvfinance.state.wv.us/cafr13.htm</t>
  </si>
  <si>
    <t>West Virginia</t>
  </si>
  <si>
    <t>ftp://doaftp1380.wi.gov/doadocs/2013%20CAFR_Linked.pdf</t>
  </si>
  <si>
    <t>Wisconsin</t>
  </si>
  <si>
    <t>http://sao.state.wy.us/cafr/cafr_report.htm</t>
  </si>
  <si>
    <t>Wyoming</t>
  </si>
  <si>
    <t>7.long_term_liab</t>
  </si>
  <si>
    <t>State</t>
  </si>
  <si>
    <t>Cash Index</t>
  </si>
  <si>
    <t>LR SolvencyIndex</t>
  </si>
  <si>
    <t>Budgt Solv.</t>
  </si>
  <si>
    <t>Ser. Lvl. Solv.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</si>
  <si>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</si>
  <si>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</si>
  <si>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</si>
  <si>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</si>
  <si>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</si>
  <si>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</si>
  <si>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</si>
  <si>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</si>
  <si>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 xml:space="preserve">Florida </t>
  </si>
  <si>
    <t>Georgia</t>
  </si>
  <si>
    <t>Hawaii</t>
  </si>
  <si>
    <t>Rank</t>
  </si>
  <si>
    <t>Cash Solvency</t>
  </si>
  <si>
    <t xml:space="preserve"> </t>
  </si>
  <si>
    <t>Trust Fund Solv.</t>
  </si>
  <si>
    <t>Trust Fund Solvency</t>
  </si>
  <si>
    <t>Fisc cond with trust fund</t>
  </si>
  <si>
    <t>UAAL OPEB</t>
  </si>
  <si>
    <t>Primary gov debt</t>
  </si>
  <si>
    <t>Personal income</t>
  </si>
  <si>
    <t>UAAL pension (risk-free)</t>
  </si>
  <si>
    <t>Budgetary Solvency</t>
  </si>
  <si>
    <t xml:space="preserve">Rank </t>
  </si>
  <si>
    <t>Long-Run Solvency</t>
  </si>
  <si>
    <t>Service Level Solvency</t>
  </si>
  <si>
    <t>Overall ranking without Trust Fund</t>
  </si>
  <si>
    <t>Overall Ranking with Trust Fund</t>
  </si>
  <si>
    <t>9.tax_income_ratio</t>
  </si>
  <si>
    <t>10.rev_income_ratio</t>
  </si>
  <si>
    <t>11.exp_income_ratio</t>
  </si>
  <si>
    <t>9.tax_income_ratio (inv)</t>
  </si>
  <si>
    <t>10.rev_income_ratio (inv)</t>
  </si>
  <si>
    <t>11.exp_income_ratio (inv)</t>
  </si>
  <si>
    <t>9. Tax income ratio (inv)</t>
  </si>
  <si>
    <t>10. Revenue income ratio (inv)</t>
  </si>
  <si>
    <t>11. Expenses income ratio (inv)</t>
  </si>
  <si>
    <t>12. Debt income ratio</t>
  </si>
  <si>
    <t>13. Pension income ratio</t>
  </si>
  <si>
    <t>14. OPEB income ratio</t>
  </si>
  <si>
    <t>13. pension income ratio (inv)</t>
  </si>
  <si>
    <t>14. OPEB income ratio (inv)</t>
  </si>
  <si>
    <t>12. Debt income ratio (inv)</t>
  </si>
  <si>
    <t>12. Primary debt_income ratio</t>
  </si>
  <si>
    <t>13. pension_income ratio</t>
  </si>
  <si>
    <t>14. OPEB_income ratio</t>
  </si>
  <si>
    <t>12. Primary debt_income (inv)</t>
  </si>
  <si>
    <t>13. pension_income ratio (inv)</t>
  </si>
  <si>
    <t>43. OPEB_income (inv)</t>
  </si>
  <si>
    <t>12. Primary debt_income(inv)</t>
  </si>
  <si>
    <t>13. pension_income(inv)</t>
  </si>
  <si>
    <t>14. OPEB_income (inv)</t>
  </si>
  <si>
    <t>9. Tax income ratio</t>
  </si>
  <si>
    <t>10. Revenue income ratio</t>
  </si>
  <si>
    <t>11. Expenses income ratio</t>
  </si>
  <si>
    <t>9.tax_ratio_income</t>
  </si>
  <si>
    <t>Puerto Rico</t>
  </si>
  <si>
    <t>4. Operating ratio</t>
  </si>
  <si>
    <t>Average</t>
  </si>
  <si>
    <t>http://comptroller.alabama.gov/pdfs/CAFR/cafr.2014.Alabama.pdf</t>
  </si>
  <si>
    <t>http://doa.alaska.gov/dof/reports/resource/fy14/2014cafr.pdf</t>
  </si>
  <si>
    <t>https://gao.az.gov/sites/default/files/2014_CAFR-TOC.pdf</t>
  </si>
  <si>
    <t>http://www.dfa.arkansas.gov/offices/accounting/Documents/cafr2014.pdf</t>
  </si>
  <si>
    <t>http://www.sco.ca.gov/Files-ARD/CAFR/cafr14web.pdf</t>
  </si>
  <si>
    <t>https://www.colorado.gov/pacific/sites/default/files/CAFR14Complete_1.pdf</t>
  </si>
  <si>
    <t>http://www.osc.ct.gov/2014cafr/cafr2014.pdf</t>
  </si>
  <si>
    <t>http://accounting.delaware.gov/2014cafr.pdf</t>
  </si>
  <si>
    <t>http://www.myfloridacfo.com/Division/AA/Reports/2014CAFR.pdf</t>
  </si>
  <si>
    <t>https://sao.georgia.gov/sites/sao.georgia.gov/files/related_files/site_page/2014%20CAFR_final.pdf</t>
  </si>
  <si>
    <t>http://ags.hawaii.gov/wp-content/uploads/2012/09/soh-cafr-20140630.pdf</t>
  </si>
  <si>
    <t>http://www.sco.idaho.gov/web/DSADoc.nsf/78F82959EE83E45787257DBD007251B6/$FILE/SCO-2014_Idaho_CAFR.pdf</t>
  </si>
  <si>
    <t>http://ledger.illinoiscomptroller.com/ledger/assets/File/CAFR/CAFR_2014-bookmarks.pdf</t>
  </si>
  <si>
    <t>http://www.in.gov/auditor/files/Entire_2014_CAFR.pdf</t>
  </si>
  <si>
    <t>https://das.iowa.gov/sites/default/files/acct_sae/cafr/fy14_cafr.pdf</t>
  </si>
  <si>
    <t>http://admin.ks.gov/docs/default-source/cfo/cafr/fy-2014-cafr-12-15-14-final.pdf?sfvrsn=6</t>
  </si>
  <si>
    <t>http://finance.ky.gov/services/statewideacct/Documents/CAFR/2014%20CAFR%20FINAL.pdf</t>
  </si>
  <si>
    <t>http://www.maine.gov/osc/pdf/finanrept/cafr/cafr2014.pdf</t>
  </si>
  <si>
    <t>http://finances.marylandtaxes.com/static_files/revenue/cafr/cafr2014.pdf</t>
  </si>
  <si>
    <t>http://www.mass.gov/comptroller/docs/reports-audits/cafr/cafr-2014.pdf</t>
  </si>
  <si>
    <t>http://www.michigan.gov/documents/budget/CAFR_FY_2014_478784_7.pdf</t>
  </si>
  <si>
    <t>https://mn.gov/mmb/assets/2014-CAFR_tcm1059-125168.pdf</t>
  </si>
  <si>
    <t>https://oa.mo.gov/sites/default/files/CAFR_2014.pdf</t>
  </si>
  <si>
    <t>http://sfsd.mt.gov/Portals/24/Final%20Draft%206_1_15-sig-onfile%5B1%5D_1.pdf</t>
  </si>
  <si>
    <t>http://das.nebraska.gov/accounting/cafr/cafr2014.pdf</t>
  </si>
  <si>
    <t>http://controller.nv.gov/FinancialReports/CAFR_pdf_files/FY14All.pdf</t>
  </si>
  <si>
    <t>https://das.nh.gov/accounting/FY%2014/CAFR%20FY14.pdf</t>
  </si>
  <si>
    <t>http://www.state.nj.us/treasury/omb/publications/14cafr/pdf/fullcafr2014.pdf</t>
  </si>
  <si>
    <t>http://www.nmdfa.state.nm.us/uploads/files/Financial%20Control/CAFR/FINAL%20FY14%20PDF.pdf</t>
  </si>
  <si>
    <t>http://www.osc.state.ny.us/finance/finreports/fcr/2014fcr.pdf</t>
  </si>
  <si>
    <t>https://www.nd.gov/omb/sites/omb/files/documents/agency/financial/cafr/2014-cafr.pdf</t>
  </si>
  <si>
    <t>http://obm.ohio.gov/stateaccounting/financialreporting/doc/cafr/2014/cafr_2014.pdf</t>
  </si>
  <si>
    <t>https://www.ok.gov/OSF/documents/cafr14.pdf</t>
  </si>
  <si>
    <t>http://www.oregon.gov/das/Financial/Acctng/Documents/2014%20CAFR.pdf</t>
  </si>
  <si>
    <t>http://controller.admin.ri.gov/documents/Financial%20Reports//116_Comprehensive%20Annual%20Financial%20Report_06-30-2014.pdf</t>
  </si>
  <si>
    <t>http://www.cg.sc.gov/publicationsandreports/Documents/Comprehensive%20Annaul%20Financial%20Report/CompleteCAFRFY14.pdf</t>
  </si>
  <si>
    <t>https://bfm.sd.gov/cafr/SD_CAFR_2014.PDF</t>
  </si>
  <si>
    <t>http://www.tennessee.gov/assets/entities/finance/accounts/attachments/cafr_fy14.pdf</t>
  </si>
  <si>
    <t>https://comptroller.texas.gov/transparency/reports/comprehensive-annual-financial/2014/</t>
  </si>
  <si>
    <t>https://site.utah.gov/treasurer/wp-content/uploads/sites/10/2014/12/14UTCAFR1.pdf</t>
  </si>
  <si>
    <t>http://www.doa.virginia.gov/reports/CAFR/2014/2014CAFR.pdf</t>
  </si>
  <si>
    <t>http://www.ofm.wa.gov/cafr/2014/CAFR14.pdf</t>
  </si>
  <si>
    <t>http://www.finance.wv.gov/FARS/CAFR/Documents/CAFR2014.pdf</t>
  </si>
  <si>
    <t>http://doa.wisconsin.gov/Documents/DEBF/Financial%20Reporting/CAFR/2014_CAFR_Linked.pdf</t>
  </si>
  <si>
    <t>https://drive.google.com/file/d/0B0OEQ0NOsbizUXRBYm1xenFoelU/view</t>
  </si>
  <si>
    <t>http://www.doa.la.gov/osrap/library/Publications/CAFR2014.pdf</t>
  </si>
  <si>
    <t>http://www.dfa.ms.gov/media/1156/2014cafr.pdf</t>
  </si>
  <si>
    <t>http://qa.osc.nc.gov/financial/14_cafr/2014_Comprehensive_Annual_Financial_Report.pdf</t>
  </si>
  <si>
    <t>http://www.budget.pa.gov/PublicationsAndReports/AnnualFinancialReport/Documents/2014/june-30-2014-cafr.pdf</t>
  </si>
  <si>
    <t>http://finance.vermont.gov/sites/finance/files/documents/Rpts_Pubs/CAFR/FIN-2014_CAFR_FINAL.pdf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</si>
</sst>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_(&quot;$&quot;* #,##0_);_(&quot;$&quot;* \(#,##0\);_(&quot;$&quot;* &quot;-&quot;??_);_(@_)"/>
    <numFmt numFmtId="167" formatCode="0.00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Verdana"/>
      <family val="2"/>
    </font>
    <font>
      <b/>
      <sz val="9"/>
      <color indexed="81"/>
      <name val="Verdana"/>
      <family val="2"/>
    </font>
    <font>
      <sz val="9"/>
      <color indexed="8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MS sans serif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0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5">
    <xf numFmtId="0" fontId="0" fillId="0" borderId="0" xfId="0"/>
    <xf numFmtId="0" fontId="0" fillId="2" borderId="0" xfId="0" applyFill="1"/>
    <xf numFmtId="1" fontId="0" fillId="2" borderId="0" xfId="0" applyNumberFormat="1" applyFill="1"/>
    <xf numFmtId="1" fontId="0" fillId="3" borderId="0" xfId="0" applyNumberFormat="1" applyFill="1"/>
    <xf numFmtId="1" fontId="0" fillId="3" borderId="0" xfId="0" applyNumberFormat="1" applyFill="1" applyBorder="1"/>
    <xf numFmtId="0" fontId="0" fillId="0" borderId="0" xfId="0" applyBorder="1"/>
    <xf numFmtId="0" fontId="0" fillId="4" borderId="0" xfId="0" applyFill="1"/>
    <xf numFmtId="0" fontId="0" fillId="5" borderId="0" xfId="0" applyFill="1"/>
    <xf numFmtId="0" fontId="0" fillId="0" borderId="0" xfId="0" applyFill="1"/>
    <xf numFmtId="0" fontId="0" fillId="0" borderId="0" xfId="0" applyFill="1" applyBorder="1"/>
    <xf numFmtId="0" fontId="0" fillId="3" borderId="0" xfId="0" applyFill="1"/>
    <xf numFmtId="0" fontId="0" fillId="6" borderId="0" xfId="0" applyFill="1"/>
    <xf numFmtId="164" fontId="0" fillId="0" borderId="0" xfId="1" applyNumberFormat="1" applyFont="1" applyFill="1"/>
    <xf numFmtId="164" fontId="2" fillId="0" borderId="0" xfId="1" applyNumberFormat="1" applyFont="1" applyFill="1"/>
    <xf numFmtId="37" fontId="0" fillId="0" borderId="0" xfId="1" applyNumberFormat="1" applyFont="1" applyFill="1"/>
    <xf numFmtId="37" fontId="2" fillId="0" borderId="0" xfId="1" applyNumberFormat="1" applyFont="1" applyFill="1"/>
    <xf numFmtId="2" fontId="0" fillId="0" borderId="0" xfId="0" applyNumberFormat="1" applyBorder="1"/>
    <xf numFmtId="2" fontId="0" fillId="0" borderId="0" xfId="0" applyNumberFormat="1"/>
    <xf numFmtId="0" fontId="0" fillId="0" borderId="0" xfId="0" applyAlignment="1"/>
    <xf numFmtId="43" fontId="0" fillId="0" borderId="0" xfId="1" applyFont="1"/>
    <xf numFmtId="0" fontId="0" fillId="0" borderId="1" xfId="0" applyFill="1" applyBorder="1"/>
    <xf numFmtId="43" fontId="0" fillId="0" borderId="1" xfId="1" applyFont="1" applyFill="1" applyBorder="1"/>
    <xf numFmtId="43" fontId="0" fillId="0" borderId="0" xfId="1" applyFont="1" applyFill="1" applyBorder="1"/>
    <xf numFmtId="0" fontId="0" fillId="0" borderId="2" xfId="0" applyFill="1" applyBorder="1"/>
    <xf numFmtId="43" fontId="0" fillId="0" borderId="2" xfId="1" applyFont="1" applyFill="1" applyBorder="1"/>
    <xf numFmtId="43" fontId="0" fillId="0" borderId="1" xfId="1" applyFont="1" applyBorder="1"/>
    <xf numFmtId="1" fontId="0" fillId="0" borderId="0" xfId="0" applyNumberFormat="1"/>
    <xf numFmtId="1" fontId="0" fillId="0" borderId="0" xfId="0" applyNumberFormat="1" applyFill="1"/>
    <xf numFmtId="0" fontId="0" fillId="7" borderId="0" xfId="0" applyFill="1"/>
    <xf numFmtId="0" fontId="0" fillId="7" borderId="0" xfId="0" applyFill="1" applyAlignment="1"/>
    <xf numFmtId="0" fontId="2" fillId="7" borderId="0" xfId="0" applyFont="1" applyFill="1" applyAlignment="1"/>
    <xf numFmtId="165" fontId="0" fillId="0" borderId="0" xfId="0" applyNumberFormat="1" applyFill="1"/>
    <xf numFmtId="0" fontId="2" fillId="0" borderId="0" xfId="0" applyFont="1" applyFill="1"/>
    <xf numFmtId="2" fontId="0" fillId="0" borderId="0" xfId="0" applyNumberFormat="1" applyFill="1"/>
    <xf numFmtId="165" fontId="0" fillId="0" borderId="0" xfId="0" applyNumberFormat="1"/>
    <xf numFmtId="0" fontId="0" fillId="8" borderId="0" xfId="0" applyFill="1"/>
    <xf numFmtId="2" fontId="7" fillId="0" borderId="0" xfId="0" applyNumberFormat="1" applyFont="1"/>
    <xf numFmtId="0" fontId="0" fillId="0" borderId="0" xfId="0" applyAlignment="1">
      <alignment wrapText="1"/>
    </xf>
    <xf numFmtId="166" fontId="0" fillId="0" borderId="0" xfId="0" applyNumberFormat="1" applyBorder="1"/>
    <xf numFmtId="166" fontId="0" fillId="0" borderId="0" xfId="0" applyNumberFormat="1" applyFill="1" applyBorder="1"/>
    <xf numFmtId="1" fontId="0" fillId="3" borderId="0" xfId="0" applyNumberFormat="1" applyFill="1" applyBorder="1" applyAlignment="1">
      <alignment wrapText="1"/>
    </xf>
    <xf numFmtId="0" fontId="0" fillId="0" borderId="0" xfId="0" applyFont="1" applyFill="1"/>
    <xf numFmtId="0" fontId="0" fillId="9" borderId="0" xfId="0" applyFill="1" applyAlignment="1"/>
    <xf numFmtId="0" fontId="0" fillId="10" borderId="0" xfId="0" applyFill="1" applyAlignment="1">
      <alignment wrapText="1"/>
    </xf>
    <xf numFmtId="0" fontId="10" fillId="11" borderId="0" xfId="0" applyFont="1" applyFill="1"/>
    <xf numFmtId="0" fontId="10" fillId="0" borderId="0" xfId="0" applyFont="1"/>
    <xf numFmtId="0" fontId="10" fillId="11" borderId="0" xfId="0" applyFont="1" applyFill="1" applyAlignment="1">
      <alignment wrapText="1"/>
    </xf>
    <xf numFmtId="2" fontId="10" fillId="11" borderId="0" xfId="0" applyNumberFormat="1" applyFont="1" applyFill="1" applyAlignment="1">
      <alignment wrapText="1"/>
    </xf>
    <xf numFmtId="0" fontId="10" fillId="9" borderId="0" xfId="0" applyFont="1" applyFill="1"/>
    <xf numFmtId="0" fontId="10" fillId="12" borderId="0" xfId="0" applyFont="1" applyFill="1" applyAlignment="1">
      <alignment wrapText="1"/>
    </xf>
    <xf numFmtId="0" fontId="10" fillId="13" borderId="0" xfId="0" applyFont="1" applyFill="1" applyAlignment="1">
      <alignment wrapText="1"/>
    </xf>
    <xf numFmtId="2" fontId="0" fillId="0" borderId="0" xfId="0" applyNumberFormat="1" applyFont="1" applyFill="1"/>
    <xf numFmtId="2" fontId="0" fillId="0" borderId="2" xfId="0" applyNumberFormat="1" applyBorder="1"/>
    <xf numFmtId="2" fontId="7" fillId="0" borderId="2" xfId="0" applyNumberFormat="1" applyFont="1" applyBorder="1"/>
    <xf numFmtId="0" fontId="0" fillId="0" borderId="2" xfId="0" applyBorder="1"/>
    <xf numFmtId="0" fontId="0" fillId="0" borderId="0" xfId="0" applyFont="1" applyFill="1" applyBorder="1"/>
    <xf numFmtId="0" fontId="0" fillId="0" borderId="2" xfId="0" applyFont="1" applyFill="1" applyBorder="1"/>
    <xf numFmtId="167" fontId="0" fillId="0" borderId="0" xfId="0" applyNumberFormat="1"/>
    <xf numFmtId="167" fontId="0" fillId="0" borderId="0" xfId="0" applyNumberFormat="1" applyFill="1"/>
    <xf numFmtId="3" fontId="0" fillId="0" borderId="0" xfId="0" applyNumberFormat="1" applyAlignment="1"/>
    <xf numFmtId="2" fontId="7" fillId="0" borderId="0" xfId="0" applyNumberFormat="1" applyFont="1" applyFill="1"/>
    <xf numFmtId="37" fontId="2" fillId="0" borderId="0" xfId="1" applyNumberFormat="1" applyFont="1" applyFill="1" applyBorder="1"/>
    <xf numFmtId="2" fontId="7" fillId="0" borderId="0" xfId="0" applyNumberFormat="1" applyFont="1" applyBorder="1"/>
    <xf numFmtId="0" fontId="8" fillId="0" borderId="0" xfId="119" applyBorder="1"/>
    <xf numFmtId="3" fontId="11" fillId="0" borderId="3" xfId="0" applyNumberFormat="1" applyFont="1" applyBorder="1" applyAlignment="1" applyProtection="1">
      <alignment horizontal="right"/>
      <protection locked="0"/>
    </xf>
    <xf numFmtId="1" fontId="8" fillId="3" borderId="0" xfId="119" applyNumberFormat="1" applyFill="1" applyBorder="1"/>
    <xf numFmtId="3" fontId="0" fillId="0" borderId="0" xfId="0" applyNumberFormat="1" applyFill="1" applyAlignment="1"/>
    <xf numFmtId="164" fontId="2" fillId="0" borderId="0" xfId="1" applyNumberFormat="1" applyFont="1" applyFill="1" applyBorder="1"/>
    <xf numFmtId="3" fontId="0" fillId="0" borderId="0" xfId="0" applyNumberFormat="1" applyBorder="1"/>
    <xf numFmtId="3" fontId="0" fillId="0" borderId="2" xfId="0" applyNumberFormat="1" applyFill="1" applyBorder="1" applyAlignment="1"/>
    <xf numFmtId="3" fontId="0" fillId="0" borderId="2" xfId="0" applyNumberFormat="1" applyFont="1" applyFill="1" applyBorder="1" applyAlignment="1"/>
    <xf numFmtId="3" fontId="11" fillId="0" borderId="4" xfId="0" applyNumberFormat="1" applyFont="1" applyBorder="1" applyAlignment="1" applyProtection="1">
      <alignment horizontal="right"/>
      <protection locked="0"/>
    </xf>
    <xf numFmtId="5" fontId="0" fillId="0" borderId="0" xfId="0" applyNumberFormat="1" applyBorder="1"/>
    <xf numFmtId="2" fontId="0" fillId="0" borderId="0" xfId="0" applyNumberFormat="1" applyFill="1" applyBorder="1"/>
    <xf numFmtId="44" fontId="0" fillId="0" borderId="0" xfId="0" applyNumberFormat="1" applyBorder="1"/>
    <xf numFmtId="1" fontId="0" fillId="0" borderId="0" xfId="0" applyNumberFormat="1" applyBorder="1"/>
    <xf numFmtId="1" fontId="0" fillId="0" borderId="2" xfId="0" applyNumberFormat="1" applyBorder="1"/>
    <xf numFmtId="164" fontId="1" fillId="0" borderId="0" xfId="1" applyNumberFormat="1" applyFont="1" applyFill="1"/>
    <xf numFmtId="166" fontId="0" fillId="0" borderId="5" xfId="0" applyNumberFormat="1" applyFill="1" applyBorder="1"/>
    <xf numFmtId="166" fontId="0" fillId="0" borderId="2" xfId="0" applyNumberFormat="1" applyFill="1" applyBorder="1"/>
    <xf numFmtId="5" fontId="0" fillId="0" borderId="2" xfId="0" applyNumberFormat="1" applyFill="1" applyBorder="1"/>
    <xf numFmtId="164" fontId="0" fillId="0" borderId="0" xfId="1" applyNumberFormat="1" applyFont="1" applyAlignment="1">
      <alignment horizontal="right"/>
    </xf>
    <xf numFmtId="164" fontId="0" fillId="0" borderId="2" xfId="1" applyNumberFormat="1" applyFont="1" applyBorder="1" applyAlignment="1">
      <alignment horizontal="right"/>
    </xf>
    <xf numFmtId="0" fontId="0" fillId="0" borderId="0" xfId="0" applyFill="1" applyAlignment="1">
      <alignment horizontal="right"/>
    </xf>
    <xf numFmtId="0" fontId="8" fillId="0" borderId="0" xfId="119" applyFill="1"/>
  </cellXfs>
  <cellStyles count="120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119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fsd.mt.gov/Portals/24/Final%20Draft%206_1_15-sig-onfile%5B1%5D_1.pdf" TargetMode="External"/><Relationship Id="rId2" Type="http://schemas.openxmlformats.org/officeDocument/2006/relationships/hyperlink" Target="http://www.bea.gov/iTable/iTable.cfm?reqid=70&amp;step=1&amp;isuri=1&amp;acrdn=5" TargetMode="External"/><Relationship Id="rId1" Type="http://schemas.openxmlformats.org/officeDocument/2006/relationships/hyperlink" Target="http://www.census.gov/popest/data/state/totals/2014/index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gs.hawaii.gov/wp-content/uploads/2012/09/soh-cafr-20130630.pdf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64"/>
  <sheetViews>
    <sheetView tabSelected="1" topLeftCell="B1" zoomScaleNormal="100" zoomScalePageLayoutView="115" workbookViewId="0">
      <selection activeCell="C8" sqref="C8"/>
    </sheetView>
  </sheetViews>
  <sheetFormatPr defaultColWidth="12.875" defaultRowHeight="15.75" x14ac:dyDescent="0.25"/>
  <cols>
    <col min="1" max="1" width="22.875" hidden="1" customWidth="1"/>
    <col min="2" max="2" width="20.75" customWidth="1"/>
    <col min="3" max="3" width="13.125" customWidth="1"/>
    <col min="4" max="4" width="22.375" bestFit="1" customWidth="1"/>
    <col min="5" max="5" width="21.125" bestFit="1" customWidth="1"/>
    <col min="6" max="6" width="22.125" customWidth="1"/>
    <col min="7" max="7" width="20" customWidth="1"/>
    <col min="8" max="8" width="20.625" style="27" customWidth="1"/>
    <col min="9" max="9" width="24.375" customWidth="1"/>
    <col min="10" max="10" width="20" customWidth="1"/>
    <col min="11" max="11" width="24.5" style="8" customWidth="1"/>
    <col min="12" max="12" width="21.125" style="26" customWidth="1"/>
    <col min="13" max="13" width="20" style="27" customWidth="1"/>
    <col min="14" max="14" width="22.625" customWidth="1"/>
    <col min="15" max="15" width="20.125" customWidth="1"/>
    <col min="16" max="16" width="20" customWidth="1"/>
    <col min="17" max="17" width="22.5" customWidth="1"/>
    <col min="18" max="18" width="22" style="5" customWidth="1"/>
    <col min="19" max="19" width="13.375" style="5" customWidth="1"/>
    <col min="20" max="20" width="17.375" style="5" customWidth="1"/>
    <col min="21" max="21" width="17" style="5" customWidth="1"/>
    <col min="22" max="22" width="17.375" style="5" customWidth="1"/>
    <col min="23" max="23" width="20" style="5" customWidth="1"/>
    <col min="24" max="24" width="12.875" style="5" customWidth="1"/>
    <col min="25" max="26" width="12.875" customWidth="1"/>
    <col min="27" max="27" width="15.875" bestFit="1" customWidth="1"/>
    <col min="28" max="28" width="16" customWidth="1"/>
    <col min="30" max="30" width="19.125" customWidth="1"/>
    <col min="32" max="32" width="15.875" customWidth="1"/>
    <col min="33" max="33" width="17.75" bestFit="1" customWidth="1"/>
    <col min="34" max="35" width="21" customWidth="1"/>
    <col min="36" max="36" width="15.25" customWidth="1"/>
    <col min="37" max="37" width="21" customWidth="1"/>
    <col min="38" max="38" width="33.125" customWidth="1"/>
    <col min="46" max="46" width="15.625" bestFit="1" customWidth="1"/>
  </cols>
  <sheetData>
    <row r="1" spans="1:58" ht="31.5" x14ac:dyDescent="0.25">
      <c r="A1" t="s">
        <v>0</v>
      </c>
      <c r="B1" t="s">
        <v>1</v>
      </c>
      <c r="C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63" t="s">
        <v>18</v>
      </c>
      <c r="T1" s="40" t="s">
        <v>170</v>
      </c>
      <c r="U1" s="4" t="s">
        <v>167</v>
      </c>
      <c r="V1" s="4" t="s">
        <v>168</v>
      </c>
      <c r="W1" s="65" t="s">
        <v>169</v>
      </c>
      <c r="X1" s="5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s="6" t="s">
        <v>25</v>
      </c>
      <c r="AE1" s="6" t="s">
        <v>26</v>
      </c>
      <c r="AF1" s="6" t="s">
        <v>177</v>
      </c>
      <c r="AG1" s="6" t="s">
        <v>178</v>
      </c>
      <c r="AH1" s="6" t="s">
        <v>179</v>
      </c>
      <c r="AI1" s="35" t="s">
        <v>192</v>
      </c>
      <c r="AJ1" s="35" t="s">
        <v>193</v>
      </c>
      <c r="AK1" s="35" t="s">
        <v>194</v>
      </c>
      <c r="AL1" s="7" t="s">
        <v>27</v>
      </c>
      <c r="AM1" s="7" t="s">
        <v>28</v>
      </c>
      <c r="AN1" s="7" t="s">
        <v>180</v>
      </c>
      <c r="AO1" s="7" t="s">
        <v>181</v>
      </c>
      <c r="AP1" s="7" t="s">
        <v>182</v>
      </c>
      <c r="AQ1" s="7" t="s">
        <v>195</v>
      </c>
      <c r="AR1" s="7" t="s">
        <v>196</v>
      </c>
      <c r="AS1" s="7" t="s">
        <v>197</v>
      </c>
    </row>
    <row r="2" spans="1:58" x14ac:dyDescent="0.25">
      <c r="A2" t="s">
        <v>208</v>
      </c>
      <c r="B2" s="8" t="s">
        <v>30</v>
      </c>
      <c r="C2" s="8">
        <v>2014</v>
      </c>
      <c r="D2" s="12">
        <f>3491188+3732645</f>
        <v>7223833</v>
      </c>
      <c r="E2" s="12">
        <f>D2+46157+237800+859732+56</f>
        <v>8367578</v>
      </c>
      <c r="F2" s="12">
        <f>E2+12629+1156260+272030+86094+33754</f>
        <v>9928345</v>
      </c>
      <c r="G2" s="12">
        <f>M2-H2</f>
        <v>2016901</v>
      </c>
      <c r="H2" s="12">
        <f>328889+6077046</f>
        <v>6405935</v>
      </c>
      <c r="I2" s="12">
        <f>-4568500</f>
        <v>-4568500</v>
      </c>
      <c r="J2" s="12">
        <f>7417036</f>
        <v>7417036</v>
      </c>
      <c r="K2" s="13">
        <f>23956039</f>
        <v>23956039</v>
      </c>
      <c r="L2" s="12">
        <f>32252995</f>
        <v>32252995</v>
      </c>
      <c r="M2" s="13">
        <f>8422836</f>
        <v>8422836</v>
      </c>
      <c r="N2" s="14">
        <f>(2398362+3627582+545976+640104+306359+334275+183120+126103)*1000</f>
        <v>8161881000</v>
      </c>
      <c r="O2" s="15">
        <f>21372583*1000</f>
        <v>21372583000</v>
      </c>
      <c r="P2" s="14">
        <f>20907124*1000</f>
        <v>20907124000</v>
      </c>
      <c r="Q2" s="59">
        <f>H2*1000</f>
        <v>6405935000</v>
      </c>
      <c r="R2" s="14">
        <f>465470*1000</f>
        <v>465470000</v>
      </c>
      <c r="S2" s="64">
        <v>4849377</v>
      </c>
      <c r="T2" s="38">
        <v>60428194770.414833</v>
      </c>
      <c r="U2" s="38">
        <v>11638489853</v>
      </c>
      <c r="V2" s="38">
        <f>5022733*1000</f>
        <v>5022733000</v>
      </c>
      <c r="W2" s="38">
        <v>181908767000</v>
      </c>
      <c r="X2" s="16">
        <f>D2/G2</f>
        <v>3.5816497686301907</v>
      </c>
      <c r="Y2" s="16">
        <f t="shared" ref="Y2:Y33" si="0">E2/G2</f>
        <v>4.1487301558182574</v>
      </c>
      <c r="Z2" s="16">
        <f t="shared" ref="Z2:Z33" si="1">F2/G2</f>
        <v>4.9225742859961894</v>
      </c>
      <c r="AA2" s="16">
        <f t="shared" ref="AA2:AA33" si="2">O2/P2</f>
        <v>1.0222631768960666</v>
      </c>
      <c r="AB2" s="16">
        <f t="shared" ref="AB2:AB33" si="3">R2/S2</f>
        <v>95.985525563386801</v>
      </c>
      <c r="AC2" s="16">
        <f>(I2+J2)/L2</f>
        <v>8.8318495693190668E-2</v>
      </c>
      <c r="AD2" s="16">
        <f t="shared" ref="AD2:AD33" si="4">H2/L2</f>
        <v>0.19861519837150007</v>
      </c>
      <c r="AE2" s="26">
        <f t="shared" ref="AE2:AE33" si="5">Q2/S2</f>
        <v>1320.9810249852712</v>
      </c>
      <c r="AF2" s="17">
        <f t="shared" ref="AF2:AF33" si="6">N2/W2</f>
        <v>4.486799143660844E-2</v>
      </c>
      <c r="AG2" s="17">
        <f t="shared" ref="AG2:AG33" si="7">O2/W2</f>
        <v>0.11749067047439225</v>
      </c>
      <c r="AH2" s="17">
        <f t="shared" ref="AH2:AH33" si="8">P2/W2</f>
        <v>0.11493192079082148</v>
      </c>
      <c r="AI2" s="36">
        <f t="shared" ref="AI2:AI33" si="9">V2/$W2</f>
        <v>2.7611275051960524E-2</v>
      </c>
      <c r="AJ2" s="36">
        <f>T2/$W2</f>
        <v>0.33218956824887297</v>
      </c>
      <c r="AK2" s="36">
        <f>U2/$W2</f>
        <v>6.3979818262415028E-2</v>
      </c>
      <c r="AL2">
        <f>1/AD2</f>
        <v>5.0348614214786753</v>
      </c>
      <c r="AM2">
        <f>1/AE2</f>
        <v>7.5701314484146343E-4</v>
      </c>
      <c r="AN2">
        <f t="shared" ref="AN2:AN34" si="10">1/AF2</f>
        <v>22.287603433571256</v>
      </c>
      <c r="AO2">
        <f>1/AG2</f>
        <v>8.5113140980666682</v>
      </c>
      <c r="AP2">
        <f>1/AH2</f>
        <v>8.7008029894499117</v>
      </c>
      <c r="AQ2">
        <f>1/AI2</f>
        <v>36.217088784134056</v>
      </c>
      <c r="AR2">
        <f>1/AJ2</f>
        <v>3.0103293287368085</v>
      </c>
      <c r="AS2">
        <f>1/AK2</f>
        <v>15.629928736253545</v>
      </c>
    </row>
    <row r="3" spans="1:58" x14ac:dyDescent="0.25">
      <c r="A3" s="18" t="s">
        <v>209</v>
      </c>
      <c r="B3" s="8" t="s">
        <v>38</v>
      </c>
      <c r="C3" s="8">
        <v>2014</v>
      </c>
      <c r="D3" s="12">
        <f>76483332</f>
        <v>76483332</v>
      </c>
      <c r="E3" s="12">
        <f>D3+601618+159957+430017</f>
        <v>77674924</v>
      </c>
      <c r="F3" s="12">
        <f>E3+6501+483703+21425+539+1393669+217605+2787</f>
        <v>79801153</v>
      </c>
      <c r="G3" s="12">
        <f>M3-H3</f>
        <v>3405036</v>
      </c>
      <c r="H3" s="12">
        <f>219621+34322+90852+615+184149+299848+1841736+499</f>
        <v>2671642</v>
      </c>
      <c r="I3" s="12">
        <f>28366700</f>
        <v>28366700</v>
      </c>
      <c r="J3" s="12">
        <f>K3-(I3+7073500)</f>
        <v>46663005</v>
      </c>
      <c r="K3" s="13">
        <f>82103205</f>
        <v>82103205</v>
      </c>
      <c r="L3" s="12">
        <f>88173544</f>
        <v>88173544</v>
      </c>
      <c r="M3" s="13">
        <f>6076678</f>
        <v>6076678</v>
      </c>
      <c r="N3" s="14">
        <f>(2175990+252538+414613+128076+2631)*1000</f>
        <v>2973848000</v>
      </c>
      <c r="O3" s="15">
        <f>17181*1000000</f>
        <v>17181000000</v>
      </c>
      <c r="P3" s="14">
        <f>11069*1000000</f>
        <v>11069000000</v>
      </c>
      <c r="Q3" s="59">
        <f t="shared" ref="Q3" si="11">H3*1000</f>
        <v>2671642000</v>
      </c>
      <c r="R3" s="14">
        <f>6112*1000000</f>
        <v>6112000000</v>
      </c>
      <c r="S3" s="64">
        <v>736732</v>
      </c>
      <c r="T3" s="38">
        <v>28039717843.777348</v>
      </c>
      <c r="U3" s="38">
        <v>3623032349</v>
      </c>
      <c r="V3" s="38">
        <f>1929288*1000</f>
        <v>1929288000</v>
      </c>
      <c r="W3" s="38">
        <v>39792685000</v>
      </c>
      <c r="X3" s="16">
        <f>D3/G3</f>
        <v>22.461827716358947</v>
      </c>
      <c r="Y3" s="16">
        <f t="shared" si="0"/>
        <v>22.811777614098649</v>
      </c>
      <c r="Z3" s="16">
        <f t="shared" si="1"/>
        <v>23.436214183932268</v>
      </c>
      <c r="AA3" s="16">
        <f t="shared" si="2"/>
        <v>1.5521727346643779</v>
      </c>
      <c r="AB3" s="16">
        <f t="shared" si="3"/>
        <v>8296.0968167529027</v>
      </c>
      <c r="AC3" s="16">
        <f t="shared" ref="AC3:AC33" si="12">(I3+J3)/L3</f>
        <v>0.8509321684971628</v>
      </c>
      <c r="AD3" s="16">
        <f t="shared" si="4"/>
        <v>3.0299814193699644E-2</v>
      </c>
      <c r="AE3" s="26">
        <f t="shared" si="5"/>
        <v>3626.3417362080104</v>
      </c>
      <c r="AF3" s="17">
        <f t="shared" si="6"/>
        <v>7.4733534567973992E-2</v>
      </c>
      <c r="AG3" s="17">
        <f t="shared" si="7"/>
        <v>0.43176277247941425</v>
      </c>
      <c r="AH3" s="17">
        <f t="shared" si="8"/>
        <v>0.27816670325211784</v>
      </c>
      <c r="AI3" s="36">
        <f t="shared" si="9"/>
        <v>4.8483483836287998E-2</v>
      </c>
      <c r="AJ3" s="36">
        <f t="shared" ref="AJ3:AJ34" si="13">T3/W3</f>
        <v>0.70464503322098893</v>
      </c>
      <c r="AK3" s="36">
        <f t="shared" ref="AK3:AK27" si="14">U3/$W3</f>
        <v>9.1047697560493843E-2</v>
      </c>
      <c r="AL3">
        <f t="shared" ref="AL3:AL33" si="15">1/AD3</f>
        <v>33.003502714809841</v>
      </c>
      <c r="AM3">
        <f t="shared" ref="AM3:AM34" si="16">1/AE3</f>
        <v>2.7576000077854742E-4</v>
      </c>
      <c r="AN3">
        <f t="shared" si="10"/>
        <v>13.380873871159521</v>
      </c>
      <c r="AO3">
        <f t="shared" ref="AO3:AO34" si="17">1/AG3</f>
        <v>2.3160866655025902</v>
      </c>
      <c r="AP3">
        <f t="shared" ref="AP3:AP34" si="18">1/AH3</f>
        <v>3.5949665733128553</v>
      </c>
      <c r="AQ3">
        <f t="shared" ref="AQ3:AQ34" si="19">1/AI3</f>
        <v>20.625580525043436</v>
      </c>
      <c r="AR3">
        <f t="shared" ref="AR3:AR34" si="20">1/AJ3</f>
        <v>1.4191542590301387</v>
      </c>
      <c r="AS3">
        <f t="shared" ref="AS3:AS34" si="21">1/AK3</f>
        <v>10.983254127163191</v>
      </c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</row>
    <row r="4" spans="1:58" x14ac:dyDescent="0.25">
      <c r="A4" t="s">
        <v>210</v>
      </c>
      <c r="B4" s="8" t="s">
        <v>41</v>
      </c>
      <c r="C4" s="8">
        <v>2014</v>
      </c>
      <c r="D4" s="12">
        <f>294552+8244+3004945+472932+514846+173922</f>
        <v>4469441</v>
      </c>
      <c r="E4" s="12">
        <f>D4+519976+217137+293315+306180</f>
        <v>5806049</v>
      </c>
      <c r="F4" s="12">
        <f>7064684</f>
        <v>7064684</v>
      </c>
      <c r="G4" s="12">
        <f>5293674</f>
        <v>5293674</v>
      </c>
      <c r="H4" s="12">
        <f>10648516</f>
        <v>10648516</v>
      </c>
      <c r="I4" s="12">
        <f>-1435786</f>
        <v>-1435786</v>
      </c>
      <c r="J4" s="12">
        <f>K4-(I4+19609280)</f>
        <v>7489779</v>
      </c>
      <c r="K4" s="13">
        <f>25663273</f>
        <v>25663273</v>
      </c>
      <c r="L4" s="12">
        <f>41527323</f>
        <v>41527323</v>
      </c>
      <c r="M4" s="13">
        <f>15942190</f>
        <v>15942190</v>
      </c>
      <c r="N4" s="14">
        <f>(6011724+3963197+314313+41215+1650579+547481)*1000</f>
        <v>12528509000</v>
      </c>
      <c r="O4" s="14">
        <f>31515584*1000</f>
        <v>31515584000</v>
      </c>
      <c r="P4" s="14">
        <f>29969609*1000</f>
        <v>29969609000</v>
      </c>
      <c r="Q4" s="59">
        <f>H4*1000</f>
        <v>10648516000</v>
      </c>
      <c r="R4" s="15">
        <f>1556436*1000</f>
        <v>1556436000</v>
      </c>
      <c r="S4" s="64">
        <v>6731484</v>
      </c>
      <c r="T4" s="38">
        <v>72160284189.765472</v>
      </c>
      <c r="U4" s="39">
        <v>78997000</v>
      </c>
      <c r="V4" s="38">
        <f>10067269*1000</f>
        <v>10067269000</v>
      </c>
      <c r="W4" s="38">
        <v>255092928000</v>
      </c>
      <c r="X4" s="16">
        <f t="shared" ref="X4:X33" si="22">D4/G4</f>
        <v>0.84429849665846446</v>
      </c>
      <c r="Y4" s="16">
        <f t="shared" si="0"/>
        <v>1.0967900554510912</v>
      </c>
      <c r="Z4" s="16">
        <f t="shared" si="1"/>
        <v>1.3345521465809946</v>
      </c>
      <c r="AA4" s="16">
        <f t="shared" si="2"/>
        <v>1.0515847570784123</v>
      </c>
      <c r="AB4" s="16">
        <f t="shared" si="3"/>
        <v>231.21736603696897</v>
      </c>
      <c r="AC4" s="16">
        <f t="shared" si="12"/>
        <v>0.14578336773598433</v>
      </c>
      <c r="AD4" s="16">
        <f t="shared" si="4"/>
        <v>0.25642192250148171</v>
      </c>
      <c r="AE4" s="26">
        <f t="shared" si="5"/>
        <v>1581.8972458376193</v>
      </c>
      <c r="AF4" s="17">
        <f t="shared" si="6"/>
        <v>4.9113509724581624E-2</v>
      </c>
      <c r="AG4" s="17">
        <f t="shared" si="7"/>
        <v>0.12354550260209488</v>
      </c>
      <c r="AH4" s="17">
        <f t="shared" si="8"/>
        <v>0.11748506410965653</v>
      </c>
      <c r="AI4" s="36">
        <f t="shared" si="9"/>
        <v>3.9465104261926072E-2</v>
      </c>
      <c r="AJ4" s="36">
        <f t="shared" si="13"/>
        <v>0.28287841907465766</v>
      </c>
      <c r="AK4" s="60">
        <f t="shared" si="14"/>
        <v>3.0967930243836476E-4</v>
      </c>
      <c r="AL4">
        <f t="shared" si="15"/>
        <v>3.8998225668252742</v>
      </c>
      <c r="AM4">
        <f t="shared" si="16"/>
        <v>6.3215231117650565E-4</v>
      </c>
      <c r="AN4">
        <f t="shared" si="10"/>
        <v>20.360996508044174</v>
      </c>
      <c r="AO4">
        <f t="shared" si="17"/>
        <v>8.09418375366295</v>
      </c>
      <c r="AP4">
        <f t="shared" si="18"/>
        <v>8.5117202563436845</v>
      </c>
      <c r="AQ4">
        <f t="shared" si="19"/>
        <v>25.338840950808009</v>
      </c>
      <c r="AR4">
        <f t="shared" si="20"/>
        <v>3.5350876297710028</v>
      </c>
      <c r="AS4" s="8">
        <f>1/AK4</f>
        <v>3229.1470308999073</v>
      </c>
    </row>
    <row r="5" spans="1:58" x14ac:dyDescent="0.25">
      <c r="A5" t="s">
        <v>211</v>
      </c>
      <c r="B5" s="8" t="s">
        <v>44</v>
      </c>
      <c r="C5" s="8">
        <v>2014</v>
      </c>
      <c r="D5" s="12">
        <f>1464395+3579470</f>
        <v>5043865</v>
      </c>
      <c r="E5" s="12">
        <f>D5+540988+362808+222071+35020+86+11525+43281</f>
        <v>6259644</v>
      </c>
      <c r="F5" s="12">
        <f>6617992</f>
        <v>6617992</v>
      </c>
      <c r="G5" s="12">
        <f>1906711</f>
        <v>1906711</v>
      </c>
      <c r="H5" s="12">
        <f>6576646</f>
        <v>6576646</v>
      </c>
      <c r="I5" s="12">
        <f>914022</f>
        <v>914022</v>
      </c>
      <c r="J5" s="12">
        <f>K5-(I5+11407580)</f>
        <v>3106845</v>
      </c>
      <c r="K5" s="13">
        <f>15428447</f>
        <v>15428447</v>
      </c>
      <c r="L5" s="12">
        <f>23877930</f>
        <v>23877930</v>
      </c>
      <c r="M5" s="13">
        <f>8483357</f>
        <v>8483357</v>
      </c>
      <c r="N5" s="14">
        <f>7335801*1000</f>
        <v>7335801000</v>
      </c>
      <c r="O5" s="14">
        <f>19575519*1000</f>
        <v>19575519000</v>
      </c>
      <c r="P5" s="14">
        <f>19236559*1000</f>
        <v>19236559000</v>
      </c>
      <c r="Q5" s="59">
        <f t="shared" ref="Q5:Q49" si="23">H5*1000</f>
        <v>6576646000</v>
      </c>
      <c r="R5" s="15">
        <f>338960*1000</f>
        <v>338960000</v>
      </c>
      <c r="S5" s="64">
        <v>2966369</v>
      </c>
      <c r="T5" s="38">
        <v>32418430772.078091</v>
      </c>
      <c r="U5" s="38">
        <v>1780101000</v>
      </c>
      <c r="V5" s="38">
        <f>3826624*1000</f>
        <v>3826624000</v>
      </c>
      <c r="W5" s="38">
        <v>112076107000</v>
      </c>
      <c r="X5" s="16">
        <f t="shared" si="22"/>
        <v>2.6453222328921373</v>
      </c>
      <c r="Y5" s="16">
        <f t="shared" si="0"/>
        <v>3.2829537355162897</v>
      </c>
      <c r="Z5" s="16">
        <f t="shared" si="1"/>
        <v>3.4708941208185196</v>
      </c>
      <c r="AA5" s="16">
        <f t="shared" si="2"/>
        <v>1.0176206149966842</v>
      </c>
      <c r="AB5" s="16">
        <f t="shared" si="3"/>
        <v>114.26764505697032</v>
      </c>
      <c r="AC5" s="16">
        <f t="shared" si="12"/>
        <v>0.16839261192239025</v>
      </c>
      <c r="AD5" s="16">
        <f t="shared" si="4"/>
        <v>0.2754278113722588</v>
      </c>
      <c r="AE5" s="26">
        <f t="shared" si="5"/>
        <v>2217.069420560962</v>
      </c>
      <c r="AF5" s="17">
        <f t="shared" si="6"/>
        <v>6.5453745640897398E-2</v>
      </c>
      <c r="AG5" s="17">
        <f t="shared" si="7"/>
        <v>0.17466273163824292</v>
      </c>
      <c r="AH5" s="17">
        <f t="shared" si="8"/>
        <v>0.17163835820956916</v>
      </c>
      <c r="AI5" s="36">
        <f t="shared" si="9"/>
        <v>3.4143084573770931E-2</v>
      </c>
      <c r="AJ5" s="36">
        <f t="shared" si="13"/>
        <v>0.28925371910070086</v>
      </c>
      <c r="AK5" s="36">
        <f t="shared" si="14"/>
        <v>1.5882966027719003E-2</v>
      </c>
      <c r="AL5">
        <f t="shared" si="15"/>
        <v>3.630715413297295</v>
      </c>
      <c r="AM5">
        <f t="shared" si="16"/>
        <v>4.5104586745280188E-4</v>
      </c>
      <c r="AN5">
        <f t="shared" si="10"/>
        <v>15.277964464957542</v>
      </c>
      <c r="AO5">
        <f t="shared" si="17"/>
        <v>5.7253198242151333</v>
      </c>
      <c r="AP5">
        <f t="shared" si="18"/>
        <v>5.826203480570511</v>
      </c>
      <c r="AQ5">
        <f t="shared" si="19"/>
        <v>29.288507833536819</v>
      </c>
      <c r="AR5">
        <f t="shared" si="20"/>
        <v>3.457172488945111</v>
      </c>
      <c r="AS5">
        <f t="shared" si="21"/>
        <v>62.960532576522347</v>
      </c>
    </row>
    <row r="6" spans="1:58" x14ac:dyDescent="0.25">
      <c r="A6" t="s">
        <v>212</v>
      </c>
      <c r="B6" s="8" t="s">
        <v>47</v>
      </c>
      <c r="C6" s="8">
        <v>2014</v>
      </c>
      <c r="D6" s="12">
        <f>31998685+25215+3164530</f>
        <v>35188430</v>
      </c>
      <c r="E6" s="12">
        <f>D6+18374787</f>
        <v>53563217</v>
      </c>
      <c r="F6" s="12">
        <f>74896479</f>
        <v>74896479</v>
      </c>
      <c r="G6" s="12">
        <f>52132180</f>
        <v>52132180</v>
      </c>
      <c r="H6" s="12">
        <f>161027889</f>
        <v>161027889</v>
      </c>
      <c r="I6" s="12">
        <f>-118609820</f>
        <v>-118609820</v>
      </c>
      <c r="J6" s="12">
        <f>K6-(I6+96067209)</f>
        <v>29864273</v>
      </c>
      <c r="K6" s="13">
        <f>7321662</f>
        <v>7321662</v>
      </c>
      <c r="L6" s="12">
        <f>220246775</f>
        <v>220246775</v>
      </c>
      <c r="M6" s="13">
        <f>213160069</f>
        <v>213160069</v>
      </c>
      <c r="N6" s="14">
        <f>(68793292+36477724+9102128+5777167+3359043+2302231)*1000</f>
        <v>125811585000</v>
      </c>
      <c r="O6" s="14">
        <f>246888*1000000</f>
        <v>246888000000</v>
      </c>
      <c r="P6" s="14">
        <f>237113*1000000</f>
        <v>237113000000</v>
      </c>
      <c r="Q6" s="59">
        <f t="shared" si="23"/>
        <v>161027889000</v>
      </c>
      <c r="R6" s="14">
        <f>9693669*1000</f>
        <v>9693669000</v>
      </c>
      <c r="S6" s="64">
        <v>38802500</v>
      </c>
      <c r="T6" s="38">
        <v>756671900138.0116</v>
      </c>
      <c r="U6" s="38">
        <v>29047000000</v>
      </c>
      <c r="V6" s="38">
        <f>118171001*1000</f>
        <v>118171001000</v>
      </c>
      <c r="W6" s="38">
        <v>1939527656000</v>
      </c>
      <c r="X6" s="16">
        <f t="shared" si="22"/>
        <v>0.67498481743905592</v>
      </c>
      <c r="Y6" s="16">
        <f t="shared" si="0"/>
        <v>1.027450166097025</v>
      </c>
      <c r="Z6" s="16">
        <f t="shared" si="1"/>
        <v>1.4366650118986009</v>
      </c>
      <c r="AA6" s="16">
        <f t="shared" si="2"/>
        <v>1.0412250699033794</v>
      </c>
      <c r="AB6" s="16">
        <f t="shared" si="3"/>
        <v>249.8207332001804</v>
      </c>
      <c r="AC6" s="16">
        <f t="shared" si="12"/>
        <v>-0.40293687387704086</v>
      </c>
      <c r="AD6" s="16">
        <f t="shared" si="4"/>
        <v>0.73112484393925858</v>
      </c>
      <c r="AE6" s="26">
        <f t="shared" si="5"/>
        <v>4149.9359319631467</v>
      </c>
      <c r="AF6" s="17">
        <f t="shared" si="6"/>
        <v>6.4867126081341112E-2</v>
      </c>
      <c r="AG6" s="17">
        <f t="shared" si="7"/>
        <v>0.12729284846041916</v>
      </c>
      <c r="AH6" s="17">
        <f t="shared" si="8"/>
        <v>0.12225296157365029</v>
      </c>
      <c r="AI6" s="36">
        <f t="shared" si="9"/>
        <v>6.092772156892616E-2</v>
      </c>
      <c r="AJ6" s="36">
        <f t="shared" si="13"/>
        <v>0.39013204983039002</v>
      </c>
      <c r="AK6" s="36">
        <f t="shared" si="14"/>
        <v>1.4976326792836409E-2</v>
      </c>
      <c r="AL6">
        <f t="shared" si="15"/>
        <v>1.3677554637755949</v>
      </c>
      <c r="AM6">
        <f t="shared" si="16"/>
        <v>2.4096757549867652E-4</v>
      </c>
      <c r="AN6">
        <f t="shared" si="10"/>
        <v>15.416129253915688</v>
      </c>
      <c r="AO6">
        <f t="shared" si="17"/>
        <v>7.8559008781309752</v>
      </c>
      <c r="AP6">
        <f t="shared" si="18"/>
        <v>8.1797609409859433</v>
      </c>
      <c r="AQ6">
        <f t="shared" si="19"/>
        <v>16.412890130295164</v>
      </c>
      <c r="AR6">
        <f t="shared" si="20"/>
        <v>2.5632346802441641</v>
      </c>
      <c r="AS6">
        <f t="shared" si="21"/>
        <v>66.772047233793515</v>
      </c>
    </row>
    <row r="7" spans="1:58" x14ac:dyDescent="0.25">
      <c r="A7" t="s">
        <v>213</v>
      </c>
      <c r="B7" s="8" t="s">
        <v>49</v>
      </c>
      <c r="C7" s="8">
        <v>2014</v>
      </c>
      <c r="D7" s="12">
        <f>4548471+263204</f>
        <v>4811675</v>
      </c>
      <c r="E7" s="12">
        <f>D7+1359836+618426</f>
        <v>6789937</v>
      </c>
      <c r="F7" s="12">
        <f>7752723</f>
        <v>7752723</v>
      </c>
      <c r="G7" s="12">
        <f>3854674</f>
        <v>3854674</v>
      </c>
      <c r="H7" s="12">
        <f>7234483</f>
        <v>7234483</v>
      </c>
      <c r="I7" s="12">
        <f>4358072</f>
        <v>4358072</v>
      </c>
      <c r="J7" s="12">
        <f>K7-(I7+13778909)</f>
        <v>4802532</v>
      </c>
      <c r="K7" s="13">
        <f>22939513</f>
        <v>22939513</v>
      </c>
      <c r="L7" s="12">
        <f>33892616</f>
        <v>33892616</v>
      </c>
      <c r="M7" s="13">
        <f>11089157</f>
        <v>11089157</v>
      </c>
      <c r="N7" s="14">
        <f>(2754977+236761+5285634+600002+617612+421723+57075+573544+350)*1000</f>
        <v>10547678000</v>
      </c>
      <c r="O7" s="15">
        <f>28166283*1000</f>
        <v>28166283000</v>
      </c>
      <c r="P7" s="14">
        <f>26805446*1000</f>
        <v>26805446000</v>
      </c>
      <c r="Q7" s="59">
        <f t="shared" si="23"/>
        <v>7234483000</v>
      </c>
      <c r="R7" s="15">
        <f>1339048*1000</f>
        <v>1339048000</v>
      </c>
      <c r="S7" s="64">
        <v>5355866</v>
      </c>
      <c r="T7" s="38">
        <v>81047019287.02005</v>
      </c>
      <c r="U7" s="38">
        <v>1237084000</v>
      </c>
      <c r="V7" s="38">
        <f>6321917*1000</f>
        <v>6321917000</v>
      </c>
      <c r="W7" s="38">
        <v>261735447000</v>
      </c>
      <c r="X7" s="16">
        <f t="shared" si="22"/>
        <v>1.2482702817410758</v>
      </c>
      <c r="Y7" s="16">
        <f t="shared" si="0"/>
        <v>1.761481515687189</v>
      </c>
      <c r="Z7" s="16">
        <f t="shared" si="1"/>
        <v>2.0112525728505188</v>
      </c>
      <c r="AA7" s="16">
        <f t="shared" si="2"/>
        <v>1.0507671836536501</v>
      </c>
      <c r="AB7" s="16">
        <f t="shared" si="3"/>
        <v>250.01521696024508</v>
      </c>
      <c r="AC7" s="16">
        <f t="shared" si="12"/>
        <v>0.27028317908537952</v>
      </c>
      <c r="AD7" s="16">
        <f t="shared" si="4"/>
        <v>0.21345307190215118</v>
      </c>
      <c r="AE7" s="26">
        <f t="shared" si="5"/>
        <v>1350.7587755182822</v>
      </c>
      <c r="AF7" s="17">
        <f t="shared" si="6"/>
        <v>4.0299004666341585E-2</v>
      </c>
      <c r="AG7" s="17">
        <f t="shared" si="7"/>
        <v>0.10761355912177994</v>
      </c>
      <c r="AH7" s="17">
        <f t="shared" si="8"/>
        <v>0.10241427482308119</v>
      </c>
      <c r="AI7" s="36">
        <f t="shared" si="9"/>
        <v>2.4153843403564669E-2</v>
      </c>
      <c r="AJ7" s="36">
        <f t="shared" si="13"/>
        <v>0.30965243804756815</v>
      </c>
      <c r="AK7" s="36">
        <f t="shared" si="14"/>
        <v>4.7264671796632884E-3</v>
      </c>
      <c r="AL7">
        <f t="shared" si="15"/>
        <v>4.6848705014580867</v>
      </c>
      <c r="AM7">
        <f t="shared" si="16"/>
        <v>7.4032463688144688E-4</v>
      </c>
      <c r="AN7">
        <f t="shared" si="10"/>
        <v>24.814508652994526</v>
      </c>
      <c r="AO7">
        <f t="shared" si="17"/>
        <v>9.2925093098013676</v>
      </c>
      <c r="AP7">
        <f t="shared" si="18"/>
        <v>9.7642638365353065</v>
      </c>
      <c r="AQ7">
        <f t="shared" si="19"/>
        <v>41.401278599513404</v>
      </c>
      <c r="AR7">
        <f t="shared" si="20"/>
        <v>3.2294271806972894</v>
      </c>
      <c r="AS7">
        <f t="shared" si="21"/>
        <v>211.57451474596712</v>
      </c>
    </row>
    <row r="8" spans="1:58" s="8" customFormat="1" x14ac:dyDescent="0.25">
      <c r="A8" s="8" t="s">
        <v>214</v>
      </c>
      <c r="B8" s="8" t="s">
        <v>52</v>
      </c>
      <c r="C8" s="8">
        <v>2014</v>
      </c>
      <c r="D8" s="12">
        <f>1575893+209496+237691</f>
        <v>2023080</v>
      </c>
      <c r="E8" s="12">
        <f>D8+2870440</f>
        <v>4893520</v>
      </c>
      <c r="F8" s="12">
        <f>5242487</f>
        <v>5242487</v>
      </c>
      <c r="G8" s="12">
        <f>4393110</f>
        <v>4393110</v>
      </c>
      <c r="H8" s="12">
        <f>32648819</f>
        <v>32648819</v>
      </c>
      <c r="I8" s="12">
        <f>-24396888</f>
        <v>-24396888</v>
      </c>
      <c r="J8" s="12">
        <f>K8-(I8+8945969)</f>
        <v>2860968</v>
      </c>
      <c r="K8" s="13">
        <f>-12589951</f>
        <v>-12589951</v>
      </c>
      <c r="L8" s="12">
        <f>24348677</f>
        <v>24348677</v>
      </c>
      <c r="M8" s="13">
        <f>37041929</f>
        <v>37041929</v>
      </c>
      <c r="N8" s="14">
        <f>(7752553+627100+4116012+1796678)*1000</f>
        <v>14292343000</v>
      </c>
      <c r="O8" s="14">
        <f>28281*1000000</f>
        <v>28281000000</v>
      </c>
      <c r="P8" s="14">
        <f>30129*1000000</f>
        <v>30129000000</v>
      </c>
      <c r="Q8" s="59">
        <f t="shared" si="23"/>
        <v>32648819000</v>
      </c>
      <c r="R8" s="14">
        <f>(-1816844)*1000</f>
        <v>-1816844000</v>
      </c>
      <c r="S8" s="64">
        <v>3596677</v>
      </c>
      <c r="T8" s="38">
        <v>83313338489.837341</v>
      </c>
      <c r="U8" s="38">
        <v>19532514019</v>
      </c>
      <c r="V8" s="38">
        <f>20884115*1000</f>
        <v>20884115000</v>
      </c>
      <c r="W8" s="38">
        <v>233293455000</v>
      </c>
      <c r="X8" s="16">
        <f t="shared" si="22"/>
        <v>0.46051202906369293</v>
      </c>
      <c r="Y8" s="16">
        <f t="shared" si="0"/>
        <v>1.1139079148940045</v>
      </c>
      <c r="Z8" s="16">
        <f t="shared" si="1"/>
        <v>1.1933429848103052</v>
      </c>
      <c r="AA8" s="16">
        <f t="shared" si="2"/>
        <v>0.93866374589266155</v>
      </c>
      <c r="AB8" s="16">
        <f t="shared" si="3"/>
        <v>-505.14516594067248</v>
      </c>
      <c r="AC8" s="16">
        <f t="shared" si="12"/>
        <v>-0.88448008900031816</v>
      </c>
      <c r="AD8" s="16">
        <f t="shared" si="4"/>
        <v>1.340886775901623</v>
      </c>
      <c r="AE8" s="26">
        <f t="shared" si="5"/>
        <v>9077.4954214682057</v>
      </c>
      <c r="AF8" s="17">
        <f t="shared" si="6"/>
        <v>6.1263368918772279E-2</v>
      </c>
      <c r="AG8" s="17">
        <f t="shared" si="7"/>
        <v>0.12122500393335081</v>
      </c>
      <c r="AH8" s="17">
        <f t="shared" si="8"/>
        <v>0.12914635774929906</v>
      </c>
      <c r="AI8" s="36">
        <f t="shared" si="9"/>
        <v>8.9518649376597384E-2</v>
      </c>
      <c r="AJ8" s="36">
        <f t="shared" si="13"/>
        <v>0.35711819900750041</v>
      </c>
      <c r="AK8" s="36">
        <f t="shared" si="14"/>
        <v>8.372508358196333E-2</v>
      </c>
      <c r="AL8">
        <f t="shared" si="15"/>
        <v>0.74577512283062974</v>
      </c>
      <c r="AM8">
        <f t="shared" si="16"/>
        <v>1.1016254523632233E-4</v>
      </c>
      <c r="AN8">
        <f t="shared" si="10"/>
        <v>16.322967829697344</v>
      </c>
      <c r="AO8">
        <f t="shared" si="17"/>
        <v>8.2491232629680695</v>
      </c>
      <c r="AP8">
        <f t="shared" si="18"/>
        <v>7.743152942347904</v>
      </c>
      <c r="AQ8">
        <f t="shared" si="19"/>
        <v>11.170856653489984</v>
      </c>
      <c r="AR8">
        <f t="shared" si="20"/>
        <v>2.8001933331294531</v>
      </c>
      <c r="AS8">
        <f t="shared" si="21"/>
        <v>11.943851916505309</v>
      </c>
    </row>
    <row r="9" spans="1:58" s="8" customFormat="1" x14ac:dyDescent="0.25">
      <c r="A9" s="8" t="s">
        <v>215</v>
      </c>
      <c r="B9" s="8" t="s">
        <v>55</v>
      </c>
      <c r="C9" s="8">
        <v>2014</v>
      </c>
      <c r="D9" s="12">
        <f>187204+1327039</f>
        <v>1514243</v>
      </c>
      <c r="E9" s="12">
        <f>D9+791863</f>
        <v>2306106</v>
      </c>
      <c r="F9" s="13">
        <f>E9+24332+3778+144+237620+2592</f>
        <v>2574572</v>
      </c>
      <c r="G9" s="12">
        <f>M9-H9</f>
        <v>797682</v>
      </c>
      <c r="H9" s="12">
        <f>5461681+363712</f>
        <v>5825393</v>
      </c>
      <c r="I9" s="12">
        <f>-1278004</f>
        <v>-1278004</v>
      </c>
      <c r="J9" s="12">
        <f>K9-(I9+5076067)</f>
        <v>889889</v>
      </c>
      <c r="K9" s="13">
        <f>4687952</f>
        <v>4687952</v>
      </c>
      <c r="L9" s="12">
        <f>11325773</f>
        <v>11325773</v>
      </c>
      <c r="M9" s="13">
        <f>6623075</f>
        <v>6623075</v>
      </c>
      <c r="N9" s="14">
        <f>(1040341+2061007+537395+232017)*1000</f>
        <v>3870760000</v>
      </c>
      <c r="O9" s="14">
        <f>7863456*1000</f>
        <v>7863456000</v>
      </c>
      <c r="P9" s="14">
        <f>8045726*1000</f>
        <v>8045726000</v>
      </c>
      <c r="Q9" s="59">
        <f t="shared" si="23"/>
        <v>5825393000</v>
      </c>
      <c r="R9" s="14">
        <f>-182270*1000</f>
        <v>-182270000</v>
      </c>
      <c r="S9" s="64">
        <v>935614</v>
      </c>
      <c r="T9" s="38">
        <v>8026617653.2426729</v>
      </c>
      <c r="U9" s="38">
        <v>5656000000</v>
      </c>
      <c r="V9" s="38">
        <f>3021708*1000</f>
        <v>3021708000</v>
      </c>
      <c r="W9" s="38">
        <v>43391982000</v>
      </c>
      <c r="X9" s="16">
        <f>D9/G9</f>
        <v>1.8983040860894442</v>
      </c>
      <c r="Y9" s="16">
        <f t="shared" si="0"/>
        <v>2.8910091991545501</v>
      </c>
      <c r="Z9" s="16">
        <f t="shared" si="1"/>
        <v>3.2275668750203717</v>
      </c>
      <c r="AA9" s="16">
        <f t="shared" si="2"/>
        <v>0.97734573610883591</v>
      </c>
      <c r="AB9" s="73">
        <f>R9/S9</f>
        <v>-194.8132456333488</v>
      </c>
      <c r="AC9" s="16">
        <f t="shared" si="12"/>
        <v>-3.426830115701595E-2</v>
      </c>
      <c r="AD9" s="16">
        <f t="shared" si="4"/>
        <v>0.5143483804593294</v>
      </c>
      <c r="AE9" s="26">
        <f t="shared" si="5"/>
        <v>6226.2781446194695</v>
      </c>
      <c r="AF9" s="33">
        <f t="shared" si="6"/>
        <v>8.9204498655995945E-2</v>
      </c>
      <c r="AG9" s="33">
        <f t="shared" si="7"/>
        <v>0.18121910172252562</v>
      </c>
      <c r="AH9" s="17">
        <f t="shared" si="8"/>
        <v>0.18541964734406463</v>
      </c>
      <c r="AI9" s="36">
        <f t="shared" si="9"/>
        <v>6.963747357749181E-2</v>
      </c>
      <c r="AJ9" s="36">
        <f t="shared" si="13"/>
        <v>0.18497928150050102</v>
      </c>
      <c r="AK9" s="36">
        <f t="shared" si="14"/>
        <v>0.13034666174041093</v>
      </c>
      <c r="AL9">
        <f t="shared" si="15"/>
        <v>1.9442075410191209</v>
      </c>
      <c r="AM9">
        <f t="shared" si="16"/>
        <v>1.6060959320684457E-4</v>
      </c>
      <c r="AN9">
        <f t="shared" si="10"/>
        <v>11.210196963903728</v>
      </c>
      <c r="AO9">
        <f t="shared" si="17"/>
        <v>5.5181820817716787</v>
      </c>
      <c r="AP9">
        <f t="shared" si="18"/>
        <v>5.3931717286917298</v>
      </c>
      <c r="AQ9">
        <f t="shared" si="19"/>
        <v>14.360084429071239</v>
      </c>
      <c r="AR9">
        <f t="shared" si="20"/>
        <v>5.406010834771739</v>
      </c>
      <c r="AS9">
        <f t="shared" si="21"/>
        <v>7.6718497171145685</v>
      </c>
    </row>
    <row r="10" spans="1:58" s="8" customFormat="1" x14ac:dyDescent="0.25">
      <c r="A10" s="8" t="s">
        <v>216</v>
      </c>
      <c r="B10" s="8" t="s">
        <v>58</v>
      </c>
      <c r="C10" s="8">
        <v>2014</v>
      </c>
      <c r="D10" s="12">
        <f>607093+17811769+27447593</f>
        <v>45866455</v>
      </c>
      <c r="E10" s="12">
        <f>D10+6827866</f>
        <v>52694321</v>
      </c>
      <c r="F10" s="12">
        <f>E10+4404+79894</f>
        <v>52778619</v>
      </c>
      <c r="G10" s="12">
        <f>(2653667+8737+29289+4331275)</f>
        <v>7022968</v>
      </c>
      <c r="H10" s="12">
        <f>6172407+40585330</f>
        <v>46757737</v>
      </c>
      <c r="I10" s="12">
        <f>-8822962</f>
        <v>-8822962</v>
      </c>
      <c r="J10" s="12">
        <f>K10-(I10+68517284)</f>
        <v>23685170</v>
      </c>
      <c r="K10" s="13">
        <f>83379492</f>
        <v>83379492</v>
      </c>
      <c r="L10" s="12">
        <f>137147730</f>
        <v>137147730</v>
      </c>
      <c r="M10" s="13">
        <f>53780705</f>
        <v>53780705</v>
      </c>
      <c r="N10" s="15">
        <f>(21255958+2680381+2043380+1806604+254236+1317185+1631109+917693+614337+1187566)*1000</f>
        <v>33708449000</v>
      </c>
      <c r="O10" s="15">
        <f>83749*1000000</f>
        <v>83749000000</v>
      </c>
      <c r="P10" s="14">
        <f>74956*1000000</f>
        <v>74956000000</v>
      </c>
      <c r="Q10" s="59">
        <f t="shared" si="23"/>
        <v>46757737000</v>
      </c>
      <c r="R10" s="14">
        <f>8753042*1000</f>
        <v>8753042000</v>
      </c>
      <c r="S10" s="64">
        <v>19893297</v>
      </c>
      <c r="T10" s="39">
        <v>162544664874.12683</v>
      </c>
      <c r="U10" s="39">
        <v>15215163461</v>
      </c>
      <c r="V10" s="38">
        <f>27162*1000000</f>
        <v>27162000000</v>
      </c>
      <c r="W10" s="38">
        <v>850177746000</v>
      </c>
      <c r="X10" s="16">
        <f t="shared" si="22"/>
        <v>6.5309218267832065</v>
      </c>
      <c r="Y10" s="16">
        <f t="shared" si="0"/>
        <v>7.503141264491024</v>
      </c>
      <c r="Z10" s="16">
        <f t="shared" si="1"/>
        <v>7.5151444517474664</v>
      </c>
      <c r="AA10" s="16">
        <f t="shared" si="2"/>
        <v>1.1173088211750895</v>
      </c>
      <c r="AB10" s="16">
        <f t="shared" si="3"/>
        <v>439.99956367212536</v>
      </c>
      <c r="AC10" s="16">
        <f t="shared" si="12"/>
        <v>0.10836641627243848</v>
      </c>
      <c r="AD10" s="16">
        <f t="shared" si="4"/>
        <v>0.34092971863260152</v>
      </c>
      <c r="AE10" s="26">
        <f t="shared" si="5"/>
        <v>2350.4267291640999</v>
      </c>
      <c r="AF10" s="17">
        <f t="shared" si="6"/>
        <v>3.9648707765634693E-2</v>
      </c>
      <c r="AG10" s="17">
        <f t="shared" si="7"/>
        <v>9.8507636072610164E-2</v>
      </c>
      <c r="AH10" s="17">
        <f t="shared" si="8"/>
        <v>8.8165092949868865E-2</v>
      </c>
      <c r="AI10" s="36">
        <f t="shared" si="9"/>
        <v>3.1948613249164017E-2</v>
      </c>
      <c r="AJ10" s="36">
        <f t="shared" si="13"/>
        <v>0.19118903739704196</v>
      </c>
      <c r="AK10" s="36">
        <f t="shared" si="14"/>
        <v>1.7896449927777808E-2</v>
      </c>
      <c r="AL10">
        <f t="shared" si="15"/>
        <v>2.9331558539712903</v>
      </c>
      <c r="AM10">
        <f t="shared" si="16"/>
        <v>4.2545465791041167E-4</v>
      </c>
      <c r="AN10">
        <f t="shared" si="10"/>
        <v>25.221502953161686</v>
      </c>
      <c r="AO10">
        <f t="shared" si="17"/>
        <v>10.151497283549654</v>
      </c>
      <c r="AP10">
        <f t="shared" si="18"/>
        <v>11.342357463044985</v>
      </c>
      <c r="AQ10">
        <f t="shared" si="19"/>
        <v>31.300263088137839</v>
      </c>
      <c r="AR10">
        <f>1/AJ10</f>
        <v>5.2304254135832151</v>
      </c>
      <c r="AS10">
        <f t="shared" si="21"/>
        <v>55.877003765303158</v>
      </c>
    </row>
    <row r="11" spans="1:58" s="8" customFormat="1" x14ac:dyDescent="0.25">
      <c r="A11" s="8" t="s">
        <v>217</v>
      </c>
      <c r="B11" s="8" t="s">
        <v>61</v>
      </c>
      <c r="C11" s="8">
        <v>2014</v>
      </c>
      <c r="D11" s="12">
        <f>5530040+3612083</f>
        <v>9142123</v>
      </c>
      <c r="E11" s="12">
        <f>D11+4480075</f>
        <v>13622198</v>
      </c>
      <c r="F11" s="12">
        <f>E11+206010+75900+104003+50401</f>
        <v>14058512</v>
      </c>
      <c r="G11" s="12">
        <f>M11-H11</f>
        <v>5576622</v>
      </c>
      <c r="H11" s="12">
        <f>1307641+15761872</f>
        <v>17069513</v>
      </c>
      <c r="I11" s="12">
        <f>-2464881</f>
        <v>-2464881</v>
      </c>
      <c r="J11" s="12">
        <f>K11-(I11+19761771)</f>
        <v>5021501</v>
      </c>
      <c r="K11" s="13">
        <f>22318391</f>
        <v>22318391</v>
      </c>
      <c r="L11" s="12">
        <f>44783726</f>
        <v>44783726</v>
      </c>
      <c r="M11" s="13">
        <f>22646135</f>
        <v>22646135</v>
      </c>
      <c r="N11" s="14">
        <f>(8976720+4988620+2947574)*1000</f>
        <v>16912914000</v>
      </c>
      <c r="O11" s="15">
        <f>46694533*1000</f>
        <v>46694533000</v>
      </c>
      <c r="P11" s="14">
        <f>45190856*1000</f>
        <v>45190856000</v>
      </c>
      <c r="Q11" s="59">
        <f>H11*1000</f>
        <v>17069513000</v>
      </c>
      <c r="R11" s="14">
        <f>1511199*1000</f>
        <v>1511199000</v>
      </c>
      <c r="S11" s="64">
        <v>10097343</v>
      </c>
      <c r="T11" s="38">
        <v>95295189006.642654</v>
      </c>
      <c r="U11" s="38">
        <v>11136282065</v>
      </c>
      <c r="V11" s="38">
        <f>14622717*1000</f>
        <v>14622717000</v>
      </c>
      <c r="W11" s="38">
        <v>393593652000</v>
      </c>
      <c r="X11" s="16">
        <f t="shared" si="22"/>
        <v>1.6393657307237248</v>
      </c>
      <c r="Y11" s="16">
        <f t="shared" si="0"/>
        <v>2.4427328945730946</v>
      </c>
      <c r="Z11" s="16">
        <f t="shared" si="1"/>
        <v>2.520972732238262</v>
      </c>
      <c r="AA11" s="16">
        <f t="shared" si="2"/>
        <v>1.0332739216092743</v>
      </c>
      <c r="AB11" s="16">
        <f t="shared" si="3"/>
        <v>149.66303511725806</v>
      </c>
      <c r="AC11" s="16">
        <f t="shared" si="12"/>
        <v>5.7088148493941747E-2</v>
      </c>
      <c r="AD11" s="16">
        <f t="shared" si="4"/>
        <v>0.38115437290769422</v>
      </c>
      <c r="AE11" s="26">
        <f t="shared" si="5"/>
        <v>1690.4955095612777</v>
      </c>
      <c r="AF11" s="17">
        <f t="shared" si="6"/>
        <v>4.2970494859505506E-2</v>
      </c>
      <c r="AG11" s="17">
        <f t="shared" si="7"/>
        <v>0.11863639762157546</v>
      </c>
      <c r="AH11" s="17">
        <f t="shared" si="8"/>
        <v>0.1148160184250126</v>
      </c>
      <c r="AI11" s="36">
        <f t="shared" si="9"/>
        <v>3.715181107646523E-2</v>
      </c>
      <c r="AJ11" s="36">
        <f t="shared" si="13"/>
        <v>0.24211566554087274</v>
      </c>
      <c r="AK11" s="36">
        <f t="shared" si="14"/>
        <v>2.8293855880073999E-2</v>
      </c>
      <c r="AL11">
        <f t="shared" si="15"/>
        <v>2.6236088867913221</v>
      </c>
      <c r="AM11">
        <f t="shared" si="16"/>
        <v>5.9154253551346194E-4</v>
      </c>
      <c r="AN11">
        <f t="shared" si="10"/>
        <v>23.27178226058502</v>
      </c>
      <c r="AO11">
        <f t="shared" si="17"/>
        <v>8.4291163592962803</v>
      </c>
      <c r="AP11">
        <f t="shared" si="18"/>
        <v>8.7095861162709554</v>
      </c>
      <c r="AQ11">
        <f t="shared" si="19"/>
        <v>26.916588209974929</v>
      </c>
      <c r="AR11">
        <f t="shared" si="20"/>
        <v>4.1302573204672912</v>
      </c>
      <c r="AS11">
        <f t="shared" si="21"/>
        <v>35.343362327092784</v>
      </c>
    </row>
    <row r="12" spans="1:58" s="8" customFormat="1" x14ac:dyDescent="0.25">
      <c r="A12" s="8" t="s">
        <v>218</v>
      </c>
      <c r="B12" s="8" t="s">
        <v>63</v>
      </c>
      <c r="C12" s="8">
        <v>2014</v>
      </c>
      <c r="D12" s="12">
        <f>1656771+2154246</f>
        <v>3811017</v>
      </c>
      <c r="E12" s="12">
        <f>D12+1302756</f>
        <v>5113773</v>
      </c>
      <c r="F12" s="12">
        <f>E12+289734+257</f>
        <v>5403764</v>
      </c>
      <c r="G12" s="12">
        <f>M12-H12</f>
        <v>1976291</v>
      </c>
      <c r="H12" s="12">
        <f>11611807</f>
        <v>11611807</v>
      </c>
      <c r="I12" s="12">
        <f>-2045084</f>
        <v>-2045084</v>
      </c>
      <c r="J12" s="12">
        <f>K12-(I12+4426122)</f>
        <v>2289229</v>
      </c>
      <c r="K12" s="13">
        <f>4670267</f>
        <v>4670267</v>
      </c>
      <c r="L12" s="12">
        <f>18152188</f>
        <v>18152188</v>
      </c>
      <c r="M12" s="13">
        <f>13588098</f>
        <v>13588098</v>
      </c>
      <c r="N12" s="14">
        <f>(2816346+1840890+166179+188721+155990+88707+139074+124686+42853+38983+96131)*1000</f>
        <v>5698560000</v>
      </c>
      <c r="O12" s="14">
        <f>10184524*1000</f>
        <v>10184524000</v>
      </c>
      <c r="P12" s="14">
        <f>10302377*1000</f>
        <v>10302377000</v>
      </c>
      <c r="Q12" s="59">
        <f t="shared" si="23"/>
        <v>11611807000</v>
      </c>
      <c r="R12" s="14">
        <f>-117853*1000</f>
        <v>-117853000</v>
      </c>
      <c r="S12" s="64">
        <v>1419561</v>
      </c>
      <c r="T12" s="38">
        <v>28739954449.888748</v>
      </c>
      <c r="U12" s="38">
        <v>11181509000</v>
      </c>
      <c r="V12" s="38">
        <f>7782570*1000</f>
        <v>7782570000</v>
      </c>
      <c r="W12" s="38">
        <v>65347949000</v>
      </c>
      <c r="X12" s="16">
        <f t="shared" si="22"/>
        <v>1.9283683425163602</v>
      </c>
      <c r="Y12" s="16">
        <f t="shared" si="0"/>
        <v>2.5875607387778419</v>
      </c>
      <c r="Z12" s="16">
        <f t="shared" si="1"/>
        <v>2.7342957084761301</v>
      </c>
      <c r="AA12" s="16">
        <f t="shared" si="2"/>
        <v>0.9885606011117628</v>
      </c>
      <c r="AB12" s="16">
        <f t="shared" si="3"/>
        <v>-83.020736692540865</v>
      </c>
      <c r="AC12" s="16">
        <f t="shared" si="12"/>
        <v>1.3449893753854907E-2</v>
      </c>
      <c r="AD12" s="16">
        <f t="shared" si="4"/>
        <v>0.63969186524511534</v>
      </c>
      <c r="AE12" s="26">
        <f t="shared" si="5"/>
        <v>8179.8577165757579</v>
      </c>
      <c r="AF12" s="17">
        <f t="shared" si="6"/>
        <v>8.7203348952849313E-2</v>
      </c>
      <c r="AG12" s="17">
        <f t="shared" si="7"/>
        <v>0.15585070619431377</v>
      </c>
      <c r="AH12" s="17">
        <f t="shared" si="8"/>
        <v>0.15765417519071639</v>
      </c>
      <c r="AI12" s="36">
        <f t="shared" si="9"/>
        <v>0.1190943268931057</v>
      </c>
      <c r="AJ12" s="36">
        <f t="shared" si="13"/>
        <v>0.43979887494079956</v>
      </c>
      <c r="AK12" s="36">
        <f t="shared" si="14"/>
        <v>0.17110726765120049</v>
      </c>
      <c r="AL12">
        <f t="shared" si="15"/>
        <v>1.5632526444850487</v>
      </c>
      <c r="AM12">
        <f t="shared" si="16"/>
        <v>1.2225151520344767E-4</v>
      </c>
      <c r="AN12">
        <f t="shared" si="10"/>
        <v>11.467449496013026</v>
      </c>
      <c r="AO12">
        <f t="shared" si="17"/>
        <v>6.4163969764320843</v>
      </c>
      <c r="AP12">
        <f t="shared" si="18"/>
        <v>6.342997251993399</v>
      </c>
      <c r="AQ12">
        <f t="shared" si="19"/>
        <v>8.3967055869719136</v>
      </c>
      <c r="AR12">
        <f t="shared" si="20"/>
        <v>2.2737666169214461</v>
      </c>
      <c r="AS12">
        <f t="shared" si="21"/>
        <v>5.8442871172397215</v>
      </c>
    </row>
    <row r="13" spans="1:58" s="8" customFormat="1" x14ac:dyDescent="0.25">
      <c r="A13" s="8" t="s">
        <v>219</v>
      </c>
      <c r="B13" s="8" t="s">
        <v>65</v>
      </c>
      <c r="C13" s="8">
        <v>2014</v>
      </c>
      <c r="D13" s="12">
        <f>523959+1464683+2194156</f>
        <v>4182798</v>
      </c>
      <c r="E13" s="12">
        <f>D13+237399+625416</f>
        <v>5045613</v>
      </c>
      <c r="F13" s="12">
        <f>L13-(2640422+4843733+383672+231725)</f>
        <v>6362204</v>
      </c>
      <c r="G13" s="12">
        <f t="shared" ref="G13:G50" si="24">M13-H13</f>
        <v>1560006</v>
      </c>
      <c r="H13" s="12">
        <f>237547+1326192</f>
        <v>1563739</v>
      </c>
      <c r="I13" s="12">
        <f>1362252</f>
        <v>1362252</v>
      </c>
      <c r="J13" s="12">
        <f>K13-(I13+6248300)</f>
        <v>3745946</v>
      </c>
      <c r="K13" s="13">
        <f>11356498</f>
        <v>11356498</v>
      </c>
      <c r="L13" s="12">
        <f>14461756</f>
        <v>14461756</v>
      </c>
      <c r="M13" s="13">
        <f>3123745</f>
        <v>3123745</v>
      </c>
      <c r="N13" s="14">
        <f>(1400547+1739957+262479+213434)*1000</f>
        <v>3616417000</v>
      </c>
      <c r="O13" s="14">
        <f>8739129*1000</f>
        <v>8739129000</v>
      </c>
      <c r="P13" s="14">
        <f>7762559*1000</f>
        <v>7762559000</v>
      </c>
      <c r="Q13" s="59">
        <f t="shared" si="23"/>
        <v>1563739000</v>
      </c>
      <c r="R13" s="14">
        <f>976570*1000</f>
        <v>976570000</v>
      </c>
      <c r="S13" s="64">
        <v>1634464</v>
      </c>
      <c r="T13" s="38">
        <v>13966263099.868519</v>
      </c>
      <c r="U13" s="38">
        <v>106709000</v>
      </c>
      <c r="V13" s="38">
        <f>1344592*1000</f>
        <v>1344592000</v>
      </c>
      <c r="W13" s="38">
        <v>60040758000</v>
      </c>
      <c r="X13" s="16">
        <f t="shared" si="22"/>
        <v>2.68127045665209</v>
      </c>
      <c r="Y13" s="16">
        <f t="shared" si="0"/>
        <v>3.2343548678658927</v>
      </c>
      <c r="Z13" s="16">
        <f t="shared" si="1"/>
        <v>4.0783202115889301</v>
      </c>
      <c r="AA13" s="16">
        <f t="shared" si="2"/>
        <v>1.1258051629623684</v>
      </c>
      <c r="AB13" s="16">
        <f t="shared" si="3"/>
        <v>597.48639309278144</v>
      </c>
      <c r="AC13" s="16">
        <f t="shared" si="12"/>
        <v>0.35322114409896005</v>
      </c>
      <c r="AD13" s="16">
        <f t="shared" si="4"/>
        <v>0.1081292617577008</v>
      </c>
      <c r="AE13" s="26">
        <f t="shared" si="5"/>
        <v>956.72893376666605</v>
      </c>
      <c r="AF13" s="17">
        <f t="shared" si="6"/>
        <v>6.0232700593153735E-2</v>
      </c>
      <c r="AG13" s="17">
        <f t="shared" si="7"/>
        <v>0.14555327565984427</v>
      </c>
      <c r="AH13" s="17">
        <f t="shared" si="8"/>
        <v>0.12928815788768022</v>
      </c>
      <c r="AI13" s="36">
        <f t="shared" si="9"/>
        <v>2.2394653978219263E-2</v>
      </c>
      <c r="AJ13" s="36">
        <f t="shared" si="13"/>
        <v>0.23261303762801461</v>
      </c>
      <c r="AK13" s="36">
        <f t="shared" si="14"/>
        <v>1.7772760297263403E-3</v>
      </c>
      <c r="AL13">
        <f t="shared" si="15"/>
        <v>9.2481903949444249</v>
      </c>
      <c r="AM13">
        <f t="shared" si="16"/>
        <v>1.0452281358973587E-3</v>
      </c>
      <c r="AN13">
        <f t="shared" si="10"/>
        <v>16.602277336933213</v>
      </c>
      <c r="AO13">
        <f t="shared" si="17"/>
        <v>6.8703366205030267</v>
      </c>
      <c r="AP13">
        <f t="shared" si="18"/>
        <v>7.7346604386517388</v>
      </c>
      <c r="AQ13">
        <f t="shared" si="19"/>
        <v>44.653514225876698</v>
      </c>
      <c r="AR13">
        <f t="shared" si="20"/>
        <v>4.2989851738197054</v>
      </c>
      <c r="AS13">
        <f t="shared" si="21"/>
        <v>562.65880103833786</v>
      </c>
    </row>
    <row r="14" spans="1:58" s="8" customFormat="1" x14ac:dyDescent="0.25">
      <c r="A14" s="8" t="s">
        <v>220</v>
      </c>
      <c r="B14" s="8" t="s">
        <v>67</v>
      </c>
      <c r="C14" s="8">
        <v>2014</v>
      </c>
      <c r="D14" s="12">
        <f>10731199+470036+1472033</f>
        <v>12673268</v>
      </c>
      <c r="E14" s="12">
        <f>D14+2599651+3410648+1217566</f>
        <v>19901133</v>
      </c>
      <c r="F14" s="12">
        <f>L14-(17869679+3619842+15709+38540+2253669+280900+4663+14437+230748+362716)</f>
        <v>28151079</v>
      </c>
      <c r="G14" s="12">
        <f t="shared" si="24"/>
        <v>20214079</v>
      </c>
      <c r="H14" s="12">
        <f>3069302+75070744</f>
        <v>78140046</v>
      </c>
      <c r="I14" s="12">
        <f>-69391995</f>
        <v>-69391995</v>
      </c>
      <c r="J14" s="12">
        <f>K14-(I14+14991666)</f>
        <v>9053245</v>
      </c>
      <c r="K14" s="13">
        <f>-45347084</f>
        <v>-45347084</v>
      </c>
      <c r="L14" s="12">
        <f>52841982</f>
        <v>52841982</v>
      </c>
      <c r="M14" s="13">
        <f>98354125</f>
        <v>98354125</v>
      </c>
      <c r="N14" s="14">
        <f>(20992371+10585448+1272818+1469128+521092+1672787+2306427)*1000</f>
        <v>38820071000</v>
      </c>
      <c r="O14" s="15">
        <f>71903*1000000</f>
        <v>71903000000</v>
      </c>
      <c r="P14" s="14">
        <f>72423*1000000</f>
        <v>72423000000</v>
      </c>
      <c r="Q14" s="59">
        <f t="shared" si="23"/>
        <v>78140046000</v>
      </c>
      <c r="R14" s="14">
        <f>-519930*1000</f>
        <v>-519930000</v>
      </c>
      <c r="S14" s="64">
        <v>12880580</v>
      </c>
      <c r="T14" s="38">
        <v>298052999648.36029</v>
      </c>
      <c r="U14" s="38">
        <v>34488085000</v>
      </c>
      <c r="V14" s="38">
        <f>35546086*1000</f>
        <v>35546086000</v>
      </c>
      <c r="W14" s="38">
        <v>613671539000</v>
      </c>
      <c r="X14" s="16">
        <f t="shared" si="22"/>
        <v>0.62695253145097529</v>
      </c>
      <c r="Y14" s="16">
        <f t="shared" si="0"/>
        <v>0.9845184141211677</v>
      </c>
      <c r="Z14" s="16">
        <f t="shared" si="1"/>
        <v>1.3926471248084071</v>
      </c>
      <c r="AA14" s="16">
        <f t="shared" si="2"/>
        <v>0.99281996050978283</v>
      </c>
      <c r="AB14" s="16">
        <f t="shared" si="3"/>
        <v>-40.365418327435563</v>
      </c>
      <c r="AC14" s="16">
        <f t="shared" si="12"/>
        <v>-1.1418714385088735</v>
      </c>
      <c r="AD14" s="16">
        <f t="shared" si="4"/>
        <v>1.4787493398714682</v>
      </c>
      <c r="AE14" s="26">
        <f t="shared" si="5"/>
        <v>6066.5005768373785</v>
      </c>
      <c r="AF14" s="17">
        <f t="shared" si="6"/>
        <v>6.3258711758506364E-2</v>
      </c>
      <c r="AG14" s="17">
        <f t="shared" si="7"/>
        <v>0.11716854282857657</v>
      </c>
      <c r="AH14" s="17">
        <f t="shared" si="8"/>
        <v>0.11801590166299043</v>
      </c>
      <c r="AI14" s="36">
        <f t="shared" si="9"/>
        <v>5.7923634617182404E-2</v>
      </c>
      <c r="AJ14" s="36">
        <f t="shared" si="13"/>
        <v>0.48568815841459495</v>
      </c>
      <c r="AK14" s="36">
        <f t="shared" si="14"/>
        <v>5.6199583666857983E-2</v>
      </c>
      <c r="AL14">
        <f t="shared" si="15"/>
        <v>0.67624713197634923</v>
      </c>
      <c r="AM14">
        <f t="shared" si="16"/>
        <v>1.6483967772427469E-4</v>
      </c>
      <c r="AN14">
        <f t="shared" si="10"/>
        <v>15.808099346340713</v>
      </c>
      <c r="AO14">
        <f t="shared" si="17"/>
        <v>8.5347139757729167</v>
      </c>
      <c r="AP14">
        <f t="shared" si="18"/>
        <v>8.4734343923891586</v>
      </c>
      <c r="AQ14">
        <f t="shared" si="19"/>
        <v>17.264110006373134</v>
      </c>
      <c r="AR14">
        <f t="shared" si="20"/>
        <v>2.0589342825739148</v>
      </c>
      <c r="AS14">
        <f t="shared" si="21"/>
        <v>17.793726123094395</v>
      </c>
    </row>
    <row r="15" spans="1:58" s="8" customFormat="1" x14ac:dyDescent="0.25">
      <c r="A15" s="8" t="s">
        <v>221</v>
      </c>
      <c r="B15" s="8" t="s">
        <v>70</v>
      </c>
      <c r="C15" s="8">
        <v>2014</v>
      </c>
      <c r="D15" s="12">
        <f>6690993</f>
        <v>6690993</v>
      </c>
      <c r="E15" s="12">
        <f>D15+3225225</f>
        <v>9916218</v>
      </c>
      <c r="F15" s="12">
        <f>L15-(14982967)</f>
        <v>12154433</v>
      </c>
      <c r="G15" s="12">
        <f t="shared" si="24"/>
        <v>4746180</v>
      </c>
      <c r="H15" s="12">
        <f>158121+2520657</f>
        <v>2678778</v>
      </c>
      <c r="I15" s="12">
        <f>4837760</f>
        <v>4837760</v>
      </c>
      <c r="J15" s="12">
        <f>K15-(I15+13874384)</f>
        <v>1000298</v>
      </c>
      <c r="K15" s="13">
        <f>19712442</f>
        <v>19712442</v>
      </c>
      <c r="L15" s="12">
        <f>27137400</f>
        <v>27137400</v>
      </c>
      <c r="M15" s="13">
        <f>7424958</f>
        <v>7424958</v>
      </c>
      <c r="N15" s="14">
        <f>15309134*1000</f>
        <v>15309134000</v>
      </c>
      <c r="O15" s="14">
        <f>30492.6*1000000</f>
        <v>30492600000</v>
      </c>
      <c r="P15" s="14">
        <f>29306.7*1000000</f>
        <v>29306700000</v>
      </c>
      <c r="Q15" s="59">
        <f t="shared" si="23"/>
        <v>2678778000</v>
      </c>
      <c r="R15" s="14">
        <f>1185858*1000</f>
        <v>1185858000</v>
      </c>
      <c r="S15" s="64">
        <v>6596855</v>
      </c>
      <c r="T15" s="38">
        <v>43061256546.424362</v>
      </c>
      <c r="U15" s="38">
        <v>289922000</v>
      </c>
      <c r="V15" s="38">
        <f>1112599*1000</f>
        <v>1112599000</v>
      </c>
      <c r="W15" s="38">
        <v>261092396000</v>
      </c>
      <c r="X15" s="16">
        <f t="shared" si="22"/>
        <v>1.4097638521927107</v>
      </c>
      <c r="Y15" s="16">
        <f t="shared" si="0"/>
        <v>2.0893050832458946</v>
      </c>
      <c r="Z15" s="16">
        <f t="shared" si="1"/>
        <v>2.5608874926783223</v>
      </c>
      <c r="AA15" s="16">
        <f t="shared" si="2"/>
        <v>1.0404651496074278</v>
      </c>
      <c r="AB15" s="16">
        <f t="shared" si="3"/>
        <v>179.76111343966178</v>
      </c>
      <c r="AC15" s="16">
        <f t="shared" si="12"/>
        <v>0.21512959974057941</v>
      </c>
      <c r="AD15" s="16">
        <f t="shared" si="4"/>
        <v>9.8711667293108402E-2</v>
      </c>
      <c r="AE15" s="26">
        <f t="shared" si="5"/>
        <v>406.06895255390634</v>
      </c>
      <c r="AF15" s="17">
        <f t="shared" si="6"/>
        <v>5.8634928609717155E-2</v>
      </c>
      <c r="AG15" s="17">
        <f t="shared" si="7"/>
        <v>0.11678854101901918</v>
      </c>
      <c r="AH15" s="17">
        <f t="shared" si="8"/>
        <v>0.11224647078576735</v>
      </c>
      <c r="AI15" s="36">
        <f t="shared" si="9"/>
        <v>4.2613228766723637E-3</v>
      </c>
      <c r="AJ15" s="36">
        <f t="shared" si="13"/>
        <v>0.16492727174798444</v>
      </c>
      <c r="AK15" s="36">
        <f t="shared" si="14"/>
        <v>1.1104191636435096E-3</v>
      </c>
      <c r="AL15">
        <f t="shared" si="15"/>
        <v>10.130514734703659</v>
      </c>
      <c r="AM15">
        <f t="shared" si="16"/>
        <v>2.4626359481823429E-3</v>
      </c>
      <c r="AN15">
        <f t="shared" si="10"/>
        <v>17.054680950601124</v>
      </c>
      <c r="AO15">
        <f t="shared" si="17"/>
        <v>8.5624838813351438</v>
      </c>
      <c r="AP15">
        <f t="shared" si="18"/>
        <v>8.9089660726045583</v>
      </c>
      <c r="AQ15">
        <f t="shared" si="19"/>
        <v>234.66891126093049</v>
      </c>
      <c r="AR15">
        <f t="shared" si="20"/>
        <v>6.0632786160923136</v>
      </c>
      <c r="AS15">
        <f t="shared" si="21"/>
        <v>900.56082670511375</v>
      </c>
    </row>
    <row r="16" spans="1:58" x14ac:dyDescent="0.25">
      <c r="A16" t="s">
        <v>222</v>
      </c>
      <c r="B16" s="8" t="s">
        <v>73</v>
      </c>
      <c r="C16" s="8">
        <v>2014</v>
      </c>
      <c r="D16" s="12">
        <f>4325884</f>
        <v>4325884</v>
      </c>
      <c r="E16" s="12">
        <f>D16+2316147+2383+12696</f>
        <v>6657110</v>
      </c>
      <c r="F16" s="12">
        <f>6921579</f>
        <v>6921579</v>
      </c>
      <c r="G16" s="12">
        <f>2757167</f>
        <v>2757167</v>
      </c>
      <c r="H16" s="12">
        <f>4160391</f>
        <v>4160391</v>
      </c>
      <c r="I16" s="12">
        <f>2334998</f>
        <v>2334998</v>
      </c>
      <c r="J16" s="12">
        <f>K16-(I16+10877094)</f>
        <v>2727157</v>
      </c>
      <c r="K16" s="13">
        <f>15939249</f>
        <v>15939249</v>
      </c>
      <c r="L16" s="12">
        <f>22838235</f>
        <v>22838235</v>
      </c>
      <c r="M16" s="13">
        <f>6917558</f>
        <v>6917558</v>
      </c>
      <c r="N16" s="14">
        <f>(3206504+387232+2625302+763764)*1000</f>
        <v>6982802000</v>
      </c>
      <c r="O16" s="15">
        <f>19970.6*1000000</f>
        <v>19970600000</v>
      </c>
      <c r="P16" s="14">
        <f>19194.8*1000000</f>
        <v>19194800000</v>
      </c>
      <c r="Q16" s="59">
        <f t="shared" si="23"/>
        <v>4160391000</v>
      </c>
      <c r="R16" s="14">
        <f>775864*1000</f>
        <v>775864000</v>
      </c>
      <c r="S16" s="64">
        <v>3107126</v>
      </c>
      <c r="T16" s="38">
        <v>36097884794.417</v>
      </c>
      <c r="U16" s="38">
        <v>233200000</v>
      </c>
      <c r="V16" s="38">
        <f>3679355*1000</f>
        <v>3679355000</v>
      </c>
      <c r="W16" s="38">
        <v>139624515000</v>
      </c>
      <c r="X16" s="16">
        <f>D16/G16</f>
        <v>1.5689597329432712</v>
      </c>
      <c r="Y16" s="16">
        <f>E16/G16</f>
        <v>2.4144747126307546</v>
      </c>
      <c r="Z16" s="16">
        <f t="shared" si="1"/>
        <v>2.5103952716683464</v>
      </c>
      <c r="AA16" s="16">
        <f>O16/P16</f>
        <v>1.0404171963240043</v>
      </c>
      <c r="AB16" s="16">
        <f>R16/S16</f>
        <v>249.70471104165071</v>
      </c>
      <c r="AC16" s="16">
        <f t="shared" si="12"/>
        <v>0.22165263646687233</v>
      </c>
      <c r="AD16" s="16">
        <f t="shared" si="4"/>
        <v>0.18216779886887055</v>
      </c>
      <c r="AE16" s="26">
        <f t="shared" si="5"/>
        <v>1338.983678164323</v>
      </c>
      <c r="AF16" s="17">
        <f t="shared" si="6"/>
        <v>5.0011289206626786E-2</v>
      </c>
      <c r="AG16" s="17">
        <f t="shared" si="7"/>
        <v>0.1430307564541943</v>
      </c>
      <c r="AH16" s="17">
        <f t="shared" si="8"/>
        <v>0.13747442560498777</v>
      </c>
      <c r="AI16" s="36">
        <f t="shared" si="9"/>
        <v>2.6351783567520361E-2</v>
      </c>
      <c r="AJ16" s="36">
        <f t="shared" si="13"/>
        <v>0.25853543551730152</v>
      </c>
      <c r="AK16" s="36">
        <f t="shared" si="14"/>
        <v>1.6701938051494755E-3</v>
      </c>
      <c r="AL16">
        <f t="shared" si="15"/>
        <v>5.4894443815497151</v>
      </c>
      <c r="AM16">
        <f t="shared" si="16"/>
        <v>7.4683509314388957E-4</v>
      </c>
      <c r="AN16">
        <f t="shared" si="10"/>
        <v>19.995485336688624</v>
      </c>
      <c r="AO16">
        <f t="shared" si="17"/>
        <v>6.9915032597918945</v>
      </c>
      <c r="AP16">
        <f t="shared" si="18"/>
        <v>7.2740802196428209</v>
      </c>
      <c r="AQ16">
        <f t="shared" si="19"/>
        <v>37.94809552217712</v>
      </c>
      <c r="AR16">
        <f t="shared" si="20"/>
        <v>3.8679417310787896</v>
      </c>
      <c r="AS16">
        <f t="shared" si="21"/>
        <v>598.73291166380784</v>
      </c>
    </row>
    <row r="17" spans="1:45" x14ac:dyDescent="0.25">
      <c r="A17" t="s">
        <v>223</v>
      </c>
      <c r="B17" s="8" t="s">
        <v>75</v>
      </c>
      <c r="C17" s="8">
        <v>2014</v>
      </c>
      <c r="D17" s="12">
        <f>1929770+248175</f>
        <v>2177945</v>
      </c>
      <c r="E17" s="12">
        <f>D17+1686436</f>
        <v>3864381</v>
      </c>
      <c r="F17" s="12">
        <f>E17+38339+1096</f>
        <v>3903816</v>
      </c>
      <c r="G17" s="12">
        <f t="shared" si="24"/>
        <v>1757553</v>
      </c>
      <c r="H17" s="12">
        <f>373503+3582768</f>
        <v>3956271</v>
      </c>
      <c r="I17" s="12">
        <v>-44999</v>
      </c>
      <c r="J17" s="12">
        <f>K17-(I17+9792293)</f>
        <v>2105848</v>
      </c>
      <c r="K17" s="13">
        <f>11853142</f>
        <v>11853142</v>
      </c>
      <c r="L17" s="12">
        <f>17503544</f>
        <v>17503544</v>
      </c>
      <c r="M17" s="13">
        <f>5713824</f>
        <v>5713824</v>
      </c>
      <c r="N17" s="14">
        <f>(623983+2610490+3599390+198479)*1000</f>
        <v>7032342000</v>
      </c>
      <c r="O17" s="14">
        <f>13563600*1000</f>
        <v>13563600000</v>
      </c>
      <c r="P17" s="14">
        <f>13484843*1000</f>
        <v>13484843000</v>
      </c>
      <c r="Q17" s="59">
        <f t="shared" si="23"/>
        <v>3956271000</v>
      </c>
      <c r="R17" s="14">
        <f>78757*1000</f>
        <v>78757000</v>
      </c>
      <c r="S17" s="64">
        <v>2904021</v>
      </c>
      <c r="T17" s="38">
        <v>33966383515.960484</v>
      </c>
      <c r="U17" s="38">
        <v>261298000</v>
      </c>
      <c r="V17" s="38">
        <f>(3292667+663604)*1000</f>
        <v>3956271000</v>
      </c>
      <c r="W17" s="38">
        <v>130364095000</v>
      </c>
      <c r="X17" s="16">
        <f t="shared" si="22"/>
        <v>1.239191648843591</v>
      </c>
      <c r="Y17" s="16">
        <f t="shared" si="0"/>
        <v>2.198728004219503</v>
      </c>
      <c r="Z17" s="16">
        <f t="shared" si="1"/>
        <v>2.2211654499181535</v>
      </c>
      <c r="AA17" s="16">
        <f t="shared" si="2"/>
        <v>1.0058404091171103</v>
      </c>
      <c r="AB17" s="16">
        <f t="shared" si="3"/>
        <v>27.119982947781715</v>
      </c>
      <c r="AC17" s="16">
        <f t="shared" si="12"/>
        <v>0.11773895617938858</v>
      </c>
      <c r="AD17" s="16">
        <f t="shared" si="4"/>
        <v>0.22602685490435537</v>
      </c>
      <c r="AE17" s="26">
        <f t="shared" si="5"/>
        <v>1362.3424210775336</v>
      </c>
      <c r="AF17" s="17">
        <f t="shared" si="6"/>
        <v>5.3943856243546202E-2</v>
      </c>
      <c r="AG17" s="17">
        <f t="shared" si="7"/>
        <v>0.10404398542405408</v>
      </c>
      <c r="AH17" s="17">
        <f t="shared" si="8"/>
        <v>0.10343985435560304</v>
      </c>
      <c r="AI17" s="36">
        <f t="shared" si="9"/>
        <v>3.0347857667404509E-2</v>
      </c>
      <c r="AJ17" s="36">
        <f t="shared" si="13"/>
        <v>0.2605501423989518</v>
      </c>
      <c r="AK17" s="36">
        <f t="shared" si="14"/>
        <v>2.004370912098151E-3</v>
      </c>
      <c r="AL17">
        <f t="shared" si="15"/>
        <v>4.4242530402998179</v>
      </c>
      <c r="AM17">
        <f t="shared" si="16"/>
        <v>7.3402984780365148E-4</v>
      </c>
      <c r="AN17">
        <f t="shared" si="10"/>
        <v>18.537792246167776</v>
      </c>
      <c r="AO17">
        <f t="shared" si="17"/>
        <v>9.6113196349051861</v>
      </c>
      <c r="AP17">
        <f t="shared" si="18"/>
        <v>9.6674536737283496</v>
      </c>
      <c r="AQ17">
        <f t="shared" si="19"/>
        <v>32.95125510866167</v>
      </c>
      <c r="AR17">
        <f t="shared" si="20"/>
        <v>3.8380328285094922</v>
      </c>
      <c r="AS17">
        <f t="shared" si="21"/>
        <v>498.90965487680728</v>
      </c>
    </row>
    <row r="18" spans="1:45" x14ac:dyDescent="0.25">
      <c r="A18" t="s">
        <v>224</v>
      </c>
      <c r="B18" s="8" t="s">
        <v>77</v>
      </c>
      <c r="C18" s="8">
        <v>2014</v>
      </c>
      <c r="D18" s="12">
        <f>919078+28119+1811383</f>
        <v>2758580</v>
      </c>
      <c r="E18" s="12">
        <f>D18+3069353</f>
        <v>5827933</v>
      </c>
      <c r="F18" s="12">
        <f>7618794</f>
        <v>7618794</v>
      </c>
      <c r="G18" s="12">
        <f t="shared" si="24"/>
        <v>3662370</v>
      </c>
      <c r="H18" s="12">
        <f>1023183+16333168</f>
        <v>17356351</v>
      </c>
      <c r="I18" s="12">
        <f>-12406705</f>
        <v>-12406705</v>
      </c>
      <c r="J18" s="12">
        <f>K18-(I18+21301171)</f>
        <v>1163496</v>
      </c>
      <c r="K18" s="13">
        <f>10057962</f>
        <v>10057962</v>
      </c>
      <c r="L18" s="12">
        <f>31083052</f>
        <v>31083052</v>
      </c>
      <c r="M18" s="13">
        <f>21018721</f>
        <v>21018721</v>
      </c>
      <c r="N18" s="14">
        <f>(5575312+3752868+456601+553339+21170+251231+51513+184605)*1000</f>
        <v>10846639000</v>
      </c>
      <c r="O18" s="14">
        <f>25108342*1000</f>
        <v>25108342000</v>
      </c>
      <c r="P18" s="14">
        <f>25550957*1000</f>
        <v>25550957000</v>
      </c>
      <c r="Q18" s="59">
        <f t="shared" si="23"/>
        <v>17356351000</v>
      </c>
      <c r="R18" s="14">
        <f>-442615*1000</f>
        <v>-442615000</v>
      </c>
      <c r="S18" s="64">
        <v>4413457</v>
      </c>
      <c r="T18" s="38">
        <v>78327674191.875732</v>
      </c>
      <c r="U18" s="38">
        <v>4346595777</v>
      </c>
      <c r="V18" s="38">
        <f>8228532*1000</f>
        <v>8228532000</v>
      </c>
      <c r="W18" s="38">
        <v>165044051000</v>
      </c>
      <c r="X18" s="16">
        <f t="shared" si="22"/>
        <v>0.7532226399844909</v>
      </c>
      <c r="Y18" s="16">
        <f t="shared" si="0"/>
        <v>1.5913009881579414</v>
      </c>
      <c r="Z18" s="16">
        <f t="shared" si="1"/>
        <v>2.080290631476339</v>
      </c>
      <c r="AA18" s="16">
        <f t="shared" si="2"/>
        <v>0.98267716547759831</v>
      </c>
      <c r="AB18" s="16">
        <f t="shared" si="3"/>
        <v>-100.28759768136406</v>
      </c>
      <c r="AC18" s="16">
        <f t="shared" si="12"/>
        <v>-0.36171509155535947</v>
      </c>
      <c r="AD18" s="16">
        <f t="shared" si="4"/>
        <v>0.5583863193356946</v>
      </c>
      <c r="AE18" s="26">
        <f t="shared" si="5"/>
        <v>3932.5977346103068</v>
      </c>
      <c r="AF18" s="17">
        <f t="shared" si="6"/>
        <v>6.5719660504455268E-2</v>
      </c>
      <c r="AG18" s="17">
        <f t="shared" si="7"/>
        <v>0.15213115436678176</v>
      </c>
      <c r="AH18" s="17">
        <f t="shared" si="8"/>
        <v>0.15481295354293018</v>
      </c>
      <c r="AI18" s="36">
        <f t="shared" si="9"/>
        <v>4.9856580410765607E-2</v>
      </c>
      <c r="AJ18" s="36">
        <f t="shared" si="13"/>
        <v>0.47458647383707114</v>
      </c>
      <c r="AK18" s="36">
        <f t="shared" si="14"/>
        <v>2.6335973642576189E-2</v>
      </c>
      <c r="AL18">
        <f t="shared" si="15"/>
        <v>1.7908748215566739</v>
      </c>
      <c r="AM18">
        <f t="shared" si="16"/>
        <v>2.5428484362870972E-4</v>
      </c>
      <c r="AN18">
        <f t="shared" si="10"/>
        <v>15.21614677136392</v>
      </c>
      <c r="AO18">
        <f t="shared" si="17"/>
        <v>6.573275567140195</v>
      </c>
      <c r="AP18">
        <f t="shared" si="18"/>
        <v>6.4594078022204808</v>
      </c>
      <c r="AQ18">
        <f t="shared" si="19"/>
        <v>20.057532862483857</v>
      </c>
      <c r="AR18">
        <f t="shared" si="20"/>
        <v>2.1070975578273794</v>
      </c>
      <c r="AS18">
        <f t="shared" si="21"/>
        <v>37.970876397876737</v>
      </c>
    </row>
    <row r="19" spans="1:45" s="8" customFormat="1" x14ac:dyDescent="0.25">
      <c r="A19" s="8" t="s">
        <v>253</v>
      </c>
      <c r="B19" s="8" t="s">
        <v>79</v>
      </c>
      <c r="C19" s="8">
        <v>2014</v>
      </c>
      <c r="D19" s="12">
        <f>5658074+3307525</f>
        <v>8965599</v>
      </c>
      <c r="E19" s="12">
        <f>D19+2202035</f>
        <v>11167634</v>
      </c>
      <c r="F19" s="12">
        <f>L19-(2207532+1922864+147193+9706892+70669+1618926)</f>
        <v>14717667</v>
      </c>
      <c r="G19" s="12">
        <f>2593625+76374+1825+71225+682130+13170+422634+397783+159727+66808+25747</f>
        <v>4511048</v>
      </c>
      <c r="H19" s="12">
        <f>52+19540+978+852+338176+13244+291735+6942+188218+3253+1653+7866344+2641849+259931+14562+1639248+120680</f>
        <v>13407257</v>
      </c>
      <c r="I19" s="12">
        <f>-4517463</f>
        <v>-4517463</v>
      </c>
      <c r="J19" s="12">
        <f>K19-(I19+11584578)</f>
        <v>5630500</v>
      </c>
      <c r="K19" s="13">
        <f>12697615</f>
        <v>12697615</v>
      </c>
      <c r="L19" s="12">
        <f>30391743</f>
        <v>30391743</v>
      </c>
      <c r="M19" s="13">
        <f>17918305</f>
        <v>17918305</v>
      </c>
      <c r="N19" s="14">
        <f>(3038101+2969835+837130+613917+129338+944450)*1000</f>
        <v>8532771000</v>
      </c>
      <c r="O19" s="14">
        <f>25104091*1000</f>
        <v>25104091000</v>
      </c>
      <c r="P19" s="14">
        <f>26108472*1000</f>
        <v>26108472000</v>
      </c>
      <c r="Q19" s="59">
        <f>H19*1000</f>
        <v>13407257000</v>
      </c>
      <c r="R19" s="14">
        <f>-1004381*1000</f>
        <v>-1004381000</v>
      </c>
      <c r="S19" s="64">
        <v>4649676</v>
      </c>
      <c r="T19" s="39">
        <v>73261004175.755219</v>
      </c>
      <c r="U19" s="39">
        <v>5482255900</v>
      </c>
      <c r="V19" s="39">
        <f>12307345*1000</f>
        <v>12307345000</v>
      </c>
      <c r="W19" s="39">
        <v>195426167000</v>
      </c>
      <c r="X19" s="16">
        <f t="shared" si="22"/>
        <v>1.9874758592681789</v>
      </c>
      <c r="Y19" s="16">
        <f t="shared" si="0"/>
        <v>2.4756185258946481</v>
      </c>
      <c r="Z19" s="16">
        <f t="shared" si="1"/>
        <v>3.2625826637180539</v>
      </c>
      <c r="AA19" s="16">
        <f t="shared" si="2"/>
        <v>0.96153045647405178</v>
      </c>
      <c r="AB19" s="16">
        <f t="shared" si="3"/>
        <v>-216.01096506509271</v>
      </c>
      <c r="AC19" s="16">
        <f t="shared" si="12"/>
        <v>3.6623006452772389E-2</v>
      </c>
      <c r="AD19" s="16">
        <f t="shared" si="4"/>
        <v>0.44114801181360347</v>
      </c>
      <c r="AE19" s="27">
        <f t="shared" si="5"/>
        <v>2883.4819888525567</v>
      </c>
      <c r="AF19" s="33">
        <f t="shared" si="6"/>
        <v>4.3662377106337046E-2</v>
      </c>
      <c r="AG19" s="33">
        <f t="shared" si="7"/>
        <v>0.12845818646179558</v>
      </c>
      <c r="AH19" s="33">
        <f t="shared" si="8"/>
        <v>0.13359762615617385</v>
      </c>
      <c r="AI19" s="60">
        <f t="shared" si="9"/>
        <v>6.2976955383871394E-2</v>
      </c>
      <c r="AJ19" s="60">
        <f t="shared" si="13"/>
        <v>0.37487817164093085</v>
      </c>
      <c r="AK19" s="60">
        <f t="shared" si="14"/>
        <v>2.8052824164534734E-2</v>
      </c>
      <c r="AL19" s="8">
        <f t="shared" si="15"/>
        <v>2.2668128909589784</v>
      </c>
      <c r="AM19" s="8">
        <f t="shared" si="16"/>
        <v>3.4680292918976642E-4</v>
      </c>
      <c r="AN19" s="8">
        <f t="shared" si="10"/>
        <v>22.903013218097612</v>
      </c>
      <c r="AO19" s="8">
        <f t="shared" si="17"/>
        <v>7.7846342653872629</v>
      </c>
      <c r="AP19" s="8">
        <f t="shared" si="18"/>
        <v>7.4851629386813601</v>
      </c>
      <c r="AQ19" s="8">
        <f t="shared" si="19"/>
        <v>15.878824149318964</v>
      </c>
      <c r="AR19" s="8">
        <f t="shared" si="20"/>
        <v>2.6675332832070811</v>
      </c>
      <c r="AS19" s="8">
        <f t="shared" si="21"/>
        <v>35.64703482739651</v>
      </c>
    </row>
    <row r="20" spans="1:45" s="8" customFormat="1" x14ac:dyDescent="0.25">
      <c r="A20" s="8" t="s">
        <v>225</v>
      </c>
      <c r="B20" s="8" t="s">
        <v>81</v>
      </c>
      <c r="C20" s="8">
        <v>2014</v>
      </c>
      <c r="D20" s="12">
        <f>305050+8263+77785+95706</f>
        <v>486804</v>
      </c>
      <c r="E20" s="12">
        <f>D20+381290+3960+295033</f>
        <v>1167087</v>
      </c>
      <c r="F20" s="12">
        <f>1841134</f>
        <v>1841134</v>
      </c>
      <c r="G20" s="12">
        <f>1061077</f>
        <v>1061077</v>
      </c>
      <c r="H20" s="12">
        <f>1483671</f>
        <v>1483671</v>
      </c>
      <c r="I20" s="12">
        <v>-673066</v>
      </c>
      <c r="J20" s="12">
        <f>K20-(I20+3371432)</f>
        <v>854932</v>
      </c>
      <c r="K20" s="13">
        <f>3553298</f>
        <v>3553298</v>
      </c>
      <c r="L20" s="12">
        <f>6098046</f>
        <v>6098046</v>
      </c>
      <c r="M20" s="13">
        <f>2544748</f>
        <v>2544748</v>
      </c>
      <c r="N20" s="14">
        <f>(194770+1399238+237439+51684+1257376+383026)*1000</f>
        <v>3523533000</v>
      </c>
      <c r="O20" s="14">
        <f>7544034*1000</f>
        <v>7544034000</v>
      </c>
      <c r="P20" s="14">
        <f>7571272*1000</f>
        <v>7571272000</v>
      </c>
      <c r="Q20" s="59">
        <f t="shared" ref="Q20" si="25">H20*1000</f>
        <v>1483671000</v>
      </c>
      <c r="R20" s="14">
        <f>-27238*1000</f>
        <v>-27238000</v>
      </c>
      <c r="S20" s="64">
        <v>1330089</v>
      </c>
      <c r="T20" s="38">
        <v>14248352773.603634</v>
      </c>
      <c r="U20" s="38">
        <v>94600000</v>
      </c>
      <c r="V20" s="38">
        <f>1201366*1000</f>
        <v>1201366000</v>
      </c>
      <c r="W20" s="38">
        <v>54195046000</v>
      </c>
      <c r="X20" s="16">
        <f t="shared" si="22"/>
        <v>0.45878291584870845</v>
      </c>
      <c r="Y20" s="16">
        <f t="shared" si="0"/>
        <v>1.0999079237416323</v>
      </c>
      <c r="Z20" s="16">
        <f t="shared" si="1"/>
        <v>1.735155884068734</v>
      </c>
      <c r="AA20" s="16">
        <f>O20/P20</f>
        <v>0.99640245390734872</v>
      </c>
      <c r="AB20" s="16">
        <f t="shared" si="3"/>
        <v>-20.478328893780791</v>
      </c>
      <c r="AC20" s="16">
        <f t="shared" si="12"/>
        <v>2.9823651707448582E-2</v>
      </c>
      <c r="AD20" s="16">
        <f t="shared" si="4"/>
        <v>0.24330269073076852</v>
      </c>
      <c r="AE20" s="26">
        <f t="shared" si="5"/>
        <v>1115.4674611999649</v>
      </c>
      <c r="AF20" s="17">
        <f t="shared" si="6"/>
        <v>6.5015776534261077E-2</v>
      </c>
      <c r="AG20" s="17">
        <f t="shared" si="7"/>
        <v>0.13920154251737327</v>
      </c>
      <c r="AH20" s="17">
        <f t="shared" si="8"/>
        <v>0.13970413458086187</v>
      </c>
      <c r="AI20" s="36">
        <f t="shared" si="9"/>
        <v>2.2167450508299227E-2</v>
      </c>
      <c r="AJ20" s="36">
        <f t="shared" si="13"/>
        <v>0.26290876796384</v>
      </c>
      <c r="AK20" s="36">
        <f t="shared" si="14"/>
        <v>1.7455470007350857E-3</v>
      </c>
      <c r="AL20">
        <f t="shared" si="15"/>
        <v>4.1101066206726422</v>
      </c>
      <c r="AM20">
        <f t="shared" si="16"/>
        <v>8.9648513720359834E-4</v>
      </c>
      <c r="AN20">
        <f t="shared" si="10"/>
        <v>15.380882199769381</v>
      </c>
      <c r="AO20">
        <f t="shared" si="17"/>
        <v>7.183828439797594</v>
      </c>
      <c r="AP20">
        <f t="shared" si="18"/>
        <v>7.1579842858637228</v>
      </c>
      <c r="AQ20">
        <f t="shared" si="19"/>
        <v>45.111186765731674</v>
      </c>
      <c r="AR20">
        <f t="shared" si="20"/>
        <v>3.8036007994131951</v>
      </c>
      <c r="AS20">
        <f t="shared" si="21"/>
        <v>572.88632135306557</v>
      </c>
    </row>
    <row r="21" spans="1:45" s="8" customFormat="1" x14ac:dyDescent="0.25">
      <c r="A21" s="8" t="s">
        <v>226</v>
      </c>
      <c r="B21" s="8" t="s">
        <v>83</v>
      </c>
      <c r="C21" s="8">
        <v>2014</v>
      </c>
      <c r="D21" s="12">
        <f>572658+1466412+932137</f>
        <v>2971207</v>
      </c>
      <c r="E21" s="12">
        <f>D21+1369210+1352353+819510+1031962</f>
        <v>7544242</v>
      </c>
      <c r="F21" s="12">
        <f>E21+128463+575367+4134+394257+17430+184486</f>
        <v>8848379</v>
      </c>
      <c r="G21" s="12">
        <f>5837*1000</f>
        <v>5837000</v>
      </c>
      <c r="H21" s="77">
        <f>25493*1000</f>
        <v>25493000</v>
      </c>
      <c r="I21" s="12">
        <f>-9878028</f>
        <v>-9878028</v>
      </c>
      <c r="J21" s="12">
        <f>K21-(I21+17093558)</f>
        <v>2288041</v>
      </c>
      <c r="K21" s="13">
        <f>9503571</f>
        <v>9503571</v>
      </c>
      <c r="L21" s="12">
        <f>40688297</f>
        <v>40688297</v>
      </c>
      <c r="M21" s="13">
        <f>31330700</f>
        <v>31330700</v>
      </c>
      <c r="N21" s="14">
        <f>(8803951+4199862+2196805+402403+475294+972947+238276+313473)*1000</f>
        <v>17603011000</v>
      </c>
      <c r="O21" s="14">
        <f>35809*1000000</f>
        <v>35809000000</v>
      </c>
      <c r="P21" s="14">
        <f>36540*1000000</f>
        <v>36540000000</v>
      </c>
      <c r="Q21" s="59">
        <f t="shared" si="23"/>
        <v>25493000000</v>
      </c>
      <c r="R21" s="14">
        <f>-731105*1000</f>
        <v>-731105000</v>
      </c>
      <c r="S21" s="64">
        <v>5976407</v>
      </c>
      <c r="T21" s="38">
        <v>74771474215.452484</v>
      </c>
      <c r="U21" s="38">
        <v>8714176000</v>
      </c>
      <c r="V21" s="38">
        <f>17211185*1000</f>
        <v>17211185000</v>
      </c>
      <c r="W21" s="38">
        <v>323778035000</v>
      </c>
      <c r="X21" s="16">
        <f t="shared" si="22"/>
        <v>0.50902980983381874</v>
      </c>
      <c r="Y21" s="16">
        <f t="shared" si="0"/>
        <v>1.2924862086688367</v>
      </c>
      <c r="Z21" s="16">
        <f t="shared" si="1"/>
        <v>1.5159121123864998</v>
      </c>
      <c r="AA21" s="16">
        <f t="shared" si="2"/>
        <v>0.97999452654625063</v>
      </c>
      <c r="AB21" s="16">
        <f t="shared" si="3"/>
        <v>-122.33186260574288</v>
      </c>
      <c r="AC21" s="16">
        <f t="shared" si="12"/>
        <v>-0.18653980529094152</v>
      </c>
      <c r="AD21" s="16">
        <f t="shared" si="4"/>
        <v>0.62654379464444043</v>
      </c>
      <c r="AE21" s="26">
        <f t="shared" si="5"/>
        <v>4265.606408666612</v>
      </c>
      <c r="AF21" s="17">
        <f t="shared" si="6"/>
        <v>5.4367526815091084E-2</v>
      </c>
      <c r="AG21" s="17">
        <f t="shared" si="7"/>
        <v>0.11059737267230002</v>
      </c>
      <c r="AH21" s="17">
        <f t="shared" si="8"/>
        <v>0.1128550922239058</v>
      </c>
      <c r="AI21" s="36">
        <f t="shared" si="9"/>
        <v>5.3157358250074005E-2</v>
      </c>
      <c r="AJ21" s="36">
        <f t="shared" si="13"/>
        <v>0.23093436284352176</v>
      </c>
      <c r="AK21" s="36">
        <f t="shared" si="14"/>
        <v>2.6914043134519609E-2</v>
      </c>
      <c r="AL21">
        <f t="shared" si="15"/>
        <v>1.596057623661397</v>
      </c>
      <c r="AM21">
        <f t="shared" si="16"/>
        <v>2.3443325618797316E-4</v>
      </c>
      <c r="AN21">
        <f t="shared" si="10"/>
        <v>18.393332538393572</v>
      </c>
      <c r="AO21">
        <f t="shared" si="17"/>
        <v>9.0418061101957612</v>
      </c>
      <c r="AP21">
        <f t="shared" si="18"/>
        <v>8.8609204980842904</v>
      </c>
      <c r="AQ21">
        <f t="shared" si="19"/>
        <v>18.812071045660133</v>
      </c>
      <c r="AR21">
        <f t="shared" si="20"/>
        <v>4.3302347372079382</v>
      </c>
      <c r="AS21">
        <f t="shared" si="21"/>
        <v>37.155324267033393</v>
      </c>
    </row>
    <row r="22" spans="1:45" s="8" customFormat="1" x14ac:dyDescent="0.25">
      <c r="A22" s="8" t="s">
        <v>227</v>
      </c>
      <c r="B22" s="8" t="s">
        <v>85</v>
      </c>
      <c r="C22" s="8">
        <v>2014</v>
      </c>
      <c r="D22" s="12">
        <f>3442315</f>
        <v>3442315</v>
      </c>
      <c r="E22" s="12">
        <f>D22+3079790+2044656+1013477</f>
        <v>9580238</v>
      </c>
      <c r="F22" s="12">
        <f>9984046</f>
        <v>9984046</v>
      </c>
      <c r="G22" s="12">
        <f>8881689</f>
        <v>8881689</v>
      </c>
      <c r="H22" s="12">
        <f>42071548</f>
        <v>42071548</v>
      </c>
      <c r="I22" s="12">
        <f>-28810773</f>
        <v>-28810773</v>
      </c>
      <c r="J22" s="12">
        <f>K22-(I22+2292475)</f>
        <v>3046249</v>
      </c>
      <c r="K22" s="13">
        <f>-23472049</f>
        <v>-23472049</v>
      </c>
      <c r="L22" s="12">
        <f>27518395</f>
        <v>27518395</v>
      </c>
      <c r="M22" s="13">
        <f>50990444</f>
        <v>50990444</v>
      </c>
      <c r="N22" s="14">
        <f>(24879693-(153501+282049+41700+1083274))*1000</f>
        <v>23319169000</v>
      </c>
      <c r="O22" s="14">
        <f>53039927*1000</f>
        <v>53039927000</v>
      </c>
      <c r="P22" s="14">
        <f>55347437*1000</f>
        <v>55347437000</v>
      </c>
      <c r="Q22" s="59">
        <f t="shared" si="23"/>
        <v>42071548000</v>
      </c>
      <c r="R22" s="14">
        <f>-2307510*1000</f>
        <v>-2307510000</v>
      </c>
      <c r="S22" s="64">
        <v>6745408</v>
      </c>
      <c r="T22" s="38">
        <v>94453602883.890335</v>
      </c>
      <c r="U22" s="38">
        <v>15377400000</v>
      </c>
      <c r="V22" s="38">
        <f>26733990*1000</f>
        <v>26733990000</v>
      </c>
      <c r="W22" s="38">
        <v>396205941000</v>
      </c>
      <c r="X22" s="16">
        <f t="shared" si="22"/>
        <v>0.38757436789331401</v>
      </c>
      <c r="Y22" s="16">
        <f t="shared" si="0"/>
        <v>1.0786504683962701</v>
      </c>
      <c r="Z22" s="16">
        <f t="shared" si="1"/>
        <v>1.1241156946612294</v>
      </c>
      <c r="AA22" s="16">
        <f t="shared" si="2"/>
        <v>0.95830863857345372</v>
      </c>
      <c r="AB22" s="16">
        <f t="shared" si="3"/>
        <v>-342.08605320834556</v>
      </c>
      <c r="AC22" s="16">
        <f t="shared" si="12"/>
        <v>-0.93626550531017527</v>
      </c>
      <c r="AD22" s="16">
        <f t="shared" si="4"/>
        <v>1.5288518098530093</v>
      </c>
      <c r="AE22" s="26">
        <f t="shared" si="5"/>
        <v>6237.0649781303073</v>
      </c>
      <c r="AF22" s="17">
        <f t="shared" si="6"/>
        <v>5.8856182068203769E-2</v>
      </c>
      <c r="AG22" s="17">
        <f t="shared" si="7"/>
        <v>0.13386959030985354</v>
      </c>
      <c r="AH22" s="17">
        <f t="shared" si="8"/>
        <v>0.13969360696688796</v>
      </c>
      <c r="AI22" s="36">
        <f t="shared" si="9"/>
        <v>6.7474985187059577E-2</v>
      </c>
      <c r="AJ22" s="36">
        <f t="shared" si="13"/>
        <v>0.23839522104462926</v>
      </c>
      <c r="AK22" s="36">
        <f t="shared" si="14"/>
        <v>3.8811634073907031E-2</v>
      </c>
      <c r="AL22">
        <f t="shared" si="15"/>
        <v>0.65408563050734425</v>
      </c>
      <c r="AM22">
        <f t="shared" si="16"/>
        <v>1.6033182330253215E-4</v>
      </c>
      <c r="AN22">
        <f t="shared" si="10"/>
        <v>16.990568617603827</v>
      </c>
      <c r="AO22">
        <f t="shared" si="17"/>
        <v>7.4699563783336274</v>
      </c>
      <c r="AP22">
        <f t="shared" si="18"/>
        <v>7.1585237271239857</v>
      </c>
      <c r="AQ22">
        <f t="shared" si="19"/>
        <v>14.820307069763997</v>
      </c>
      <c r="AR22">
        <f t="shared" si="20"/>
        <v>4.1947149595452373</v>
      </c>
      <c r="AS22">
        <f t="shared" si="21"/>
        <v>25.765470170509971</v>
      </c>
    </row>
    <row r="23" spans="1:45" s="8" customFormat="1" x14ac:dyDescent="0.25">
      <c r="A23" s="8" t="s">
        <v>228</v>
      </c>
      <c r="B23" s="8" t="s">
        <v>87</v>
      </c>
      <c r="C23" s="8">
        <v>2014</v>
      </c>
      <c r="D23" s="12">
        <f>20180+3878379+2350649</f>
        <v>6249208</v>
      </c>
      <c r="E23" s="12">
        <f>D23+4401770</f>
        <v>10650978</v>
      </c>
      <c r="F23" s="12">
        <f>13586356</f>
        <v>13586356</v>
      </c>
      <c r="G23" s="12">
        <f>6005754</f>
        <v>6005754</v>
      </c>
      <c r="H23" s="12">
        <f>13012308</f>
        <v>13012308</v>
      </c>
      <c r="I23" s="12">
        <f>-5870623</f>
        <v>-5870623</v>
      </c>
      <c r="J23" s="12">
        <f>K23-(I23+20280190)</f>
        <v>6267342</v>
      </c>
      <c r="K23" s="13">
        <f>20676909</f>
        <v>20676909</v>
      </c>
      <c r="L23" s="12">
        <f>39639991</f>
        <v>39639991</v>
      </c>
      <c r="M23" s="13">
        <f>19018062</f>
        <v>19018062</v>
      </c>
      <c r="N23" s="14">
        <f>(12286.8+10792.8+2006.2)*1000000</f>
        <v>25085800000</v>
      </c>
      <c r="O23" s="14">
        <f>52038.2*1000000</f>
        <v>52038200000</v>
      </c>
      <c r="P23" s="14">
        <f>51430.5*1000000</f>
        <v>51430500000</v>
      </c>
      <c r="Q23" s="59">
        <f t="shared" si="23"/>
        <v>13012308000</v>
      </c>
      <c r="R23" s="14">
        <f>631.6*1000000</f>
        <v>631600000</v>
      </c>
      <c r="S23" s="64">
        <v>9909877</v>
      </c>
      <c r="T23" s="38">
        <v>123309934783.37964</v>
      </c>
      <c r="U23" s="38">
        <v>20595000000</v>
      </c>
      <c r="V23" s="38">
        <f>7411*1000000</f>
        <v>7411000000</v>
      </c>
      <c r="W23" s="38">
        <v>403726369000</v>
      </c>
      <c r="X23" s="16">
        <f t="shared" si="22"/>
        <v>1.0405367918832507</v>
      </c>
      <c r="Y23" s="16">
        <f t="shared" si="0"/>
        <v>1.7734622497025352</v>
      </c>
      <c r="Z23" s="16">
        <f t="shared" si="1"/>
        <v>2.2622231946230231</v>
      </c>
      <c r="AA23" s="16">
        <f t="shared" si="2"/>
        <v>1.0118159457909217</v>
      </c>
      <c r="AB23" s="16">
        <f t="shared" si="3"/>
        <v>63.734393474308511</v>
      </c>
      <c r="AC23" s="16">
        <f t="shared" si="12"/>
        <v>1.000804969910311E-2</v>
      </c>
      <c r="AD23" s="16">
        <f t="shared" si="4"/>
        <v>0.32826213305648833</v>
      </c>
      <c r="AE23" s="26">
        <f t="shared" si="5"/>
        <v>1313.0645314770304</v>
      </c>
      <c r="AF23" s="17">
        <f t="shared" si="6"/>
        <v>6.2135649108418775E-2</v>
      </c>
      <c r="AG23" s="17">
        <f t="shared" si="7"/>
        <v>0.12889472671526195</v>
      </c>
      <c r="AH23" s="17">
        <f t="shared" si="8"/>
        <v>0.12738949929723317</v>
      </c>
      <c r="AI23" s="36">
        <f t="shared" si="9"/>
        <v>1.835649233998882E-2</v>
      </c>
      <c r="AJ23" s="36">
        <f t="shared" si="13"/>
        <v>0.30542947959730526</v>
      </c>
      <c r="AK23" s="36">
        <f t="shared" si="14"/>
        <v>5.1012273612477364E-2</v>
      </c>
      <c r="AL23">
        <f t="shared" si="15"/>
        <v>3.0463458903677965</v>
      </c>
      <c r="AM23">
        <f t="shared" si="16"/>
        <v>7.6157719291612225E-4</v>
      </c>
      <c r="AN23">
        <f t="shared" si="10"/>
        <v>16.09382076712722</v>
      </c>
      <c r="AO23">
        <f t="shared" si="17"/>
        <v>7.7582692906364938</v>
      </c>
      <c r="AP23">
        <f t="shared" si="18"/>
        <v>7.8499405800060273</v>
      </c>
      <c r="AQ23">
        <f t="shared" si="19"/>
        <v>54.476638645257047</v>
      </c>
      <c r="AR23">
        <f t="shared" si="20"/>
        <v>3.274078197423687</v>
      </c>
      <c r="AS23">
        <f t="shared" si="21"/>
        <v>19.603125467346445</v>
      </c>
    </row>
    <row r="24" spans="1:45" s="8" customFormat="1" x14ac:dyDescent="0.25">
      <c r="A24" s="8" t="s">
        <v>229</v>
      </c>
      <c r="B24" s="8" t="s">
        <v>89</v>
      </c>
      <c r="C24" s="8">
        <v>2014</v>
      </c>
      <c r="D24" s="12">
        <f>10296259+1817548</f>
        <v>12113807</v>
      </c>
      <c r="E24" s="12">
        <f>D24+2887191</f>
        <v>15000998</v>
      </c>
      <c r="F24" s="12">
        <v>16519737</v>
      </c>
      <c r="G24" s="12">
        <f>5932935</f>
        <v>5932935</v>
      </c>
      <c r="H24" s="12">
        <f>9581097</f>
        <v>9581097</v>
      </c>
      <c r="I24" s="12">
        <f>-2532147</f>
        <v>-2532147</v>
      </c>
      <c r="J24" s="12">
        <f>7787834</f>
        <v>7787834</v>
      </c>
      <c r="K24" s="13">
        <f>17715028</f>
        <v>17715028</v>
      </c>
      <c r="L24" s="12">
        <f>33778452</f>
        <v>33778452</v>
      </c>
      <c r="M24" s="13">
        <v>15514032</v>
      </c>
      <c r="N24" s="14">
        <f>(9915021+1308578+5283785+823949+1312982+883619+2489475)*1000</f>
        <v>22017409000</v>
      </c>
      <c r="O24" s="14">
        <f>37036013*1000</f>
        <v>37036013000</v>
      </c>
      <c r="P24" s="14">
        <f>34979224*1000</f>
        <v>34979224000</v>
      </c>
      <c r="Q24" s="59">
        <f t="shared" si="23"/>
        <v>9581097000</v>
      </c>
      <c r="R24" s="14">
        <f>2056789*1000</f>
        <v>2056789000</v>
      </c>
      <c r="S24" s="64">
        <v>5457173</v>
      </c>
      <c r="T24" s="38">
        <v>87446357604.148773</v>
      </c>
      <c r="U24" s="38">
        <v>651890000</v>
      </c>
      <c r="V24" s="38">
        <f>(8104982+735271)*1000</f>
        <v>8840253000</v>
      </c>
      <c r="W24" s="38">
        <v>267389243000</v>
      </c>
      <c r="X24" s="16">
        <f t="shared" si="22"/>
        <v>2.0417899403920656</v>
      </c>
      <c r="Y24" s="16">
        <f t="shared" si="0"/>
        <v>2.5284278354642349</v>
      </c>
      <c r="Z24" s="16">
        <f t="shared" si="1"/>
        <v>2.7844122681269896</v>
      </c>
      <c r="AA24" s="16">
        <f t="shared" si="2"/>
        <v>1.0588003038603715</v>
      </c>
      <c r="AB24" s="16">
        <f t="shared" si="3"/>
        <v>376.89642604330118</v>
      </c>
      <c r="AC24" s="16">
        <f t="shared" si="12"/>
        <v>0.15559289099453108</v>
      </c>
      <c r="AD24" s="16">
        <f t="shared" si="4"/>
        <v>0.28364523631811189</v>
      </c>
      <c r="AE24" s="26">
        <f t="shared" si="5"/>
        <v>1755.6887054890874</v>
      </c>
      <c r="AF24" s="17">
        <f t="shared" si="6"/>
        <v>8.2342164377943949E-2</v>
      </c>
      <c r="AG24" s="17">
        <f t="shared" si="7"/>
        <v>0.13850973429024593</v>
      </c>
      <c r="AH24" s="17">
        <f t="shared" si="8"/>
        <v>0.13081761856814861</v>
      </c>
      <c r="AI24" s="36">
        <f t="shared" si="9"/>
        <v>3.3061363654034504E-2</v>
      </c>
      <c r="AJ24" s="36">
        <f t="shared" si="13"/>
        <v>0.32703767968761843</v>
      </c>
      <c r="AK24" s="36">
        <f t="shared" si="14"/>
        <v>2.4379813962822731E-3</v>
      </c>
      <c r="AL24">
        <f t="shared" si="15"/>
        <v>3.5255307403734668</v>
      </c>
      <c r="AM24">
        <f t="shared" si="16"/>
        <v>5.6957705365053707E-4</v>
      </c>
      <c r="AN24">
        <f t="shared" si="10"/>
        <v>12.144446378772363</v>
      </c>
      <c r="AO24">
        <f t="shared" si="17"/>
        <v>7.2197091787390821</v>
      </c>
      <c r="AP24">
        <f t="shared" si="18"/>
        <v>7.6442302722324547</v>
      </c>
      <c r="AQ24">
        <f t="shared" si="19"/>
        <v>30.24678626279135</v>
      </c>
      <c r="AR24">
        <f t="shared" si="20"/>
        <v>3.0577516356989363</v>
      </c>
      <c r="AS24">
        <f t="shared" si="21"/>
        <v>410.1754022917977</v>
      </c>
    </row>
    <row r="25" spans="1:45" s="8" customFormat="1" x14ac:dyDescent="0.25">
      <c r="A25" s="8" t="s">
        <v>254</v>
      </c>
      <c r="B25" s="8" t="s">
        <v>91</v>
      </c>
      <c r="C25" s="8">
        <v>2014</v>
      </c>
      <c r="D25" s="12">
        <f>3562394+901193+100022</f>
        <v>4563609</v>
      </c>
      <c r="E25" s="12">
        <f>D25+679631</f>
        <v>5243240</v>
      </c>
      <c r="F25" s="12">
        <f>5850413</f>
        <v>5850413</v>
      </c>
      <c r="G25" s="12">
        <f>1926289</f>
        <v>1926289</v>
      </c>
      <c r="H25" s="12">
        <f>5910373</f>
        <v>5910373</v>
      </c>
      <c r="I25" s="12">
        <f>-2823293</f>
        <v>-2823293</v>
      </c>
      <c r="J25" s="12">
        <f>4236636</f>
        <v>4236636</v>
      </c>
      <c r="K25" s="13">
        <f>15141570</f>
        <v>15141570</v>
      </c>
      <c r="L25" s="12">
        <f>22856111</f>
        <v>22856111</v>
      </c>
      <c r="M25" s="13">
        <f>7836662</f>
        <v>7836662</v>
      </c>
      <c r="N25" s="14">
        <f>6862681*1000</f>
        <v>6862681000</v>
      </c>
      <c r="O25" s="14">
        <f>16842879*1000</f>
        <v>16842879000</v>
      </c>
      <c r="P25" s="14">
        <f>16321720*1000</f>
        <v>16321720000</v>
      </c>
      <c r="Q25" s="59">
        <f t="shared" si="23"/>
        <v>5910373000</v>
      </c>
      <c r="R25" s="14">
        <f>521159*1000</f>
        <v>521159000</v>
      </c>
      <c r="S25" s="64">
        <v>2994079</v>
      </c>
      <c r="T25" s="38">
        <v>51653380076.137306</v>
      </c>
      <c r="U25" s="38">
        <v>762358000</v>
      </c>
      <c r="V25" s="38">
        <f>5415232*1000</f>
        <v>5415232000</v>
      </c>
      <c r="W25" s="38">
        <v>103090592000</v>
      </c>
      <c r="X25" s="16">
        <f t="shared" si="22"/>
        <v>2.369119586936332</v>
      </c>
      <c r="Y25" s="16">
        <f t="shared" si="0"/>
        <v>2.7219384007280318</v>
      </c>
      <c r="Z25" s="16">
        <f t="shared" si="1"/>
        <v>3.0371418826562371</v>
      </c>
      <c r="AA25" s="16">
        <f t="shared" si="2"/>
        <v>1.0319303970414884</v>
      </c>
      <c r="AB25" s="16">
        <f t="shared" si="3"/>
        <v>174.0632094209939</v>
      </c>
      <c r="AC25" s="16">
        <f t="shared" si="12"/>
        <v>6.1836547783654008E-2</v>
      </c>
      <c r="AD25" s="16">
        <f t="shared" si="4"/>
        <v>0.25859049249454558</v>
      </c>
      <c r="AE25" s="26">
        <f t="shared" si="5"/>
        <v>1974.0203915795141</v>
      </c>
      <c r="AF25" s="17">
        <f t="shared" si="6"/>
        <v>6.6569420806119731E-2</v>
      </c>
      <c r="AG25" s="17">
        <f t="shared" si="7"/>
        <v>0.16337939935391971</v>
      </c>
      <c r="AH25" s="17">
        <f t="shared" si="8"/>
        <v>0.15832404958931656</v>
      </c>
      <c r="AI25" s="36">
        <f t="shared" si="9"/>
        <v>5.2528867037643936E-2</v>
      </c>
      <c r="AJ25" s="36">
        <f t="shared" si="13"/>
        <v>0.50104843782580377</v>
      </c>
      <c r="AK25" s="36">
        <f t="shared" si="14"/>
        <v>7.3950298005854885E-3</v>
      </c>
      <c r="AL25">
        <f t="shared" si="15"/>
        <v>3.867118200492591</v>
      </c>
      <c r="AM25">
        <f t="shared" si="16"/>
        <v>5.0658037995233128E-4</v>
      </c>
      <c r="AN25">
        <f t="shared" si="10"/>
        <v>15.021912281803569</v>
      </c>
      <c r="AO25">
        <f t="shared" si="17"/>
        <v>6.1207227101732427</v>
      </c>
      <c r="AP25">
        <f t="shared" si="18"/>
        <v>6.316159816489928</v>
      </c>
      <c r="AQ25">
        <f t="shared" si="19"/>
        <v>19.037151501542318</v>
      </c>
      <c r="AR25">
        <f t="shared" si="20"/>
        <v>1.9958150240709132</v>
      </c>
      <c r="AS25">
        <f t="shared" si="21"/>
        <v>135.22595945736779</v>
      </c>
    </row>
    <row r="26" spans="1:45" s="8" customFormat="1" x14ac:dyDescent="0.25">
      <c r="A26" s="8" t="s">
        <v>230</v>
      </c>
      <c r="B26" s="8" t="s">
        <v>93</v>
      </c>
      <c r="C26" s="8">
        <v>2014</v>
      </c>
      <c r="D26" s="12">
        <f>1302772+2698748</f>
        <v>4001520</v>
      </c>
      <c r="E26" s="12">
        <f>D26+3712326</f>
        <v>7713846</v>
      </c>
      <c r="F26" s="12">
        <f>E26+154179+73777+162+4922</f>
        <v>7946886</v>
      </c>
      <c r="G26" s="12">
        <f t="shared" si="24"/>
        <v>1771169</v>
      </c>
      <c r="H26" s="12">
        <f>677745+6564005</f>
        <v>7241750</v>
      </c>
      <c r="I26" s="12">
        <f>-1094075</f>
        <v>-1094075</v>
      </c>
      <c r="J26" s="12">
        <f>K26-(I26+28573200)</f>
        <v>3794972</v>
      </c>
      <c r="K26" s="13">
        <f>31274097</f>
        <v>31274097</v>
      </c>
      <c r="L26" s="12">
        <f>40171186</f>
        <v>40171186</v>
      </c>
      <c r="M26" s="13">
        <f>9012919</f>
        <v>9012919</v>
      </c>
      <c r="N26" s="14">
        <f>(2925867+6146120+1500171)*1000</f>
        <v>10572158000</v>
      </c>
      <c r="O26" s="14">
        <f>25119270*1000</f>
        <v>25119270000</v>
      </c>
      <c r="P26" s="14">
        <f>24540761*1000</f>
        <v>24540761000</v>
      </c>
      <c r="Q26" s="59">
        <f t="shared" si="23"/>
        <v>7241750000</v>
      </c>
      <c r="R26" s="14">
        <f>595600*1000</f>
        <v>595600000</v>
      </c>
      <c r="S26" s="64">
        <v>6063589</v>
      </c>
      <c r="T26" s="38">
        <v>78110473105.59903</v>
      </c>
      <c r="U26" s="38">
        <v>2469280000</v>
      </c>
      <c r="V26" s="38">
        <f>3787515*1000</f>
        <v>3787515000</v>
      </c>
      <c r="W26" s="38">
        <v>252482438000</v>
      </c>
      <c r="X26" s="16">
        <f t="shared" si="22"/>
        <v>2.2592536341817184</v>
      </c>
      <c r="Y26" s="16">
        <f t="shared" si="0"/>
        <v>4.3552286653616905</v>
      </c>
      <c r="Z26" s="16">
        <f t="shared" si="1"/>
        <v>4.4868027839240634</v>
      </c>
      <c r="AA26" s="16">
        <f t="shared" si="2"/>
        <v>1.0235733928544433</v>
      </c>
      <c r="AB26" s="16">
        <f t="shared" si="3"/>
        <v>98.225654806089267</v>
      </c>
      <c r="AC26" s="16">
        <f t="shared" si="12"/>
        <v>6.7234684084258797E-2</v>
      </c>
      <c r="AD26" s="16">
        <f t="shared" si="4"/>
        <v>0.18027224787438439</v>
      </c>
      <c r="AE26" s="26">
        <f t="shared" si="5"/>
        <v>1194.3009329952938</v>
      </c>
      <c r="AF26" s="17">
        <f t="shared" si="6"/>
        <v>4.1872845033285047E-2</v>
      </c>
      <c r="AG26" s="17">
        <f t="shared" si="7"/>
        <v>9.94891771442733E-2</v>
      </c>
      <c r="AH26" s="17">
        <f t="shared" si="8"/>
        <v>9.7197893027316226E-2</v>
      </c>
      <c r="AI26" s="36">
        <f t="shared" si="9"/>
        <v>1.5001102769769674E-2</v>
      </c>
      <c r="AJ26" s="36">
        <f t="shared" si="13"/>
        <v>0.3093699257831114</v>
      </c>
      <c r="AK26" s="36">
        <f t="shared" si="14"/>
        <v>9.780006956365021E-3</v>
      </c>
      <c r="AL26">
        <f t="shared" si="15"/>
        <v>5.5471655331929437</v>
      </c>
      <c r="AM26">
        <f t="shared" si="16"/>
        <v>8.3730990437394265E-4</v>
      </c>
      <c r="AN26">
        <f t="shared" si="10"/>
        <v>23.881826018869564</v>
      </c>
      <c r="AO26">
        <f t="shared" si="17"/>
        <v>10.051344565347639</v>
      </c>
      <c r="AP26">
        <f t="shared" si="18"/>
        <v>10.288288859501952</v>
      </c>
      <c r="AQ26">
        <f t="shared" si="19"/>
        <v>66.661765827990124</v>
      </c>
      <c r="AR26">
        <f t="shared" si="20"/>
        <v>3.2323762481717941</v>
      </c>
      <c r="AS26">
        <f t="shared" si="21"/>
        <v>102.24941602410419</v>
      </c>
    </row>
    <row r="27" spans="1:45" x14ac:dyDescent="0.25">
      <c r="A27" s="84" t="s">
        <v>231</v>
      </c>
      <c r="B27" s="8" t="s">
        <v>95</v>
      </c>
      <c r="C27" s="8">
        <v>2014</v>
      </c>
      <c r="D27" s="12">
        <f>1787611+2148517+376656</f>
        <v>4312784</v>
      </c>
      <c r="E27" s="12">
        <f>D27+450542</f>
        <v>4763326</v>
      </c>
      <c r="F27" s="12">
        <f>L27-5247349</f>
        <v>5673026</v>
      </c>
      <c r="G27" s="12">
        <f>M27-H27</f>
        <v>1000702</v>
      </c>
      <c r="H27" s="12">
        <f>167036+566272+215066</f>
        <v>948374</v>
      </c>
      <c r="I27" s="12">
        <f>915182</f>
        <v>915182</v>
      </c>
      <c r="J27" s="12">
        <f>K27-(I27+5065447)</f>
        <v>2991254</v>
      </c>
      <c r="K27" s="13">
        <v>8971883</v>
      </c>
      <c r="L27" s="12">
        <f>10920375</f>
        <v>10920375</v>
      </c>
      <c r="M27" s="13">
        <f>1949076</f>
        <v>1949076</v>
      </c>
      <c r="N27" s="14">
        <f>2372993*1000</f>
        <v>2372993000</v>
      </c>
      <c r="O27" s="14">
        <f>5877649*1000</f>
        <v>5877649000</v>
      </c>
      <c r="P27" s="14">
        <f>5459459*1000</f>
        <v>5459459000</v>
      </c>
      <c r="Q27" s="59">
        <f t="shared" si="23"/>
        <v>948374000</v>
      </c>
      <c r="R27" s="14">
        <f>418190*1000</f>
        <v>418190000</v>
      </c>
      <c r="S27" s="64">
        <v>1023579</v>
      </c>
      <c r="T27" s="38">
        <v>15609152656.088522</v>
      </c>
      <c r="U27" s="38">
        <v>466986000</v>
      </c>
      <c r="V27" s="38">
        <f>266076*1000</f>
        <v>266076000</v>
      </c>
      <c r="W27" s="38">
        <v>40843525000</v>
      </c>
      <c r="X27" s="16">
        <f t="shared" si="22"/>
        <v>4.3097585494982527</v>
      </c>
      <c r="Y27" s="16">
        <f t="shared" si="0"/>
        <v>4.7599844908873967</v>
      </c>
      <c r="Z27" s="16">
        <f t="shared" si="1"/>
        <v>5.6690463294767071</v>
      </c>
      <c r="AA27" s="16">
        <f t="shared" si="2"/>
        <v>1.0765991648623059</v>
      </c>
      <c r="AB27" s="16">
        <f t="shared" si="3"/>
        <v>408.5566429166679</v>
      </c>
      <c r="AC27" s="16">
        <f t="shared" si="12"/>
        <v>0.35771995009328894</v>
      </c>
      <c r="AD27" s="16">
        <f t="shared" si="4"/>
        <v>8.6844453601639143E-2</v>
      </c>
      <c r="AE27" s="26">
        <f t="shared" si="5"/>
        <v>926.52741019501184</v>
      </c>
      <c r="AF27" s="17">
        <f t="shared" si="6"/>
        <v>5.8099613096567936E-2</v>
      </c>
      <c r="AG27" s="17">
        <f t="shared" si="7"/>
        <v>0.14390650660049542</v>
      </c>
      <c r="AH27" s="17">
        <f t="shared" si="8"/>
        <v>0.13366767437433474</v>
      </c>
      <c r="AI27" s="36">
        <f t="shared" si="9"/>
        <v>6.5145209675217799E-3</v>
      </c>
      <c r="AJ27" s="36">
        <f t="shared" si="13"/>
        <v>0.38216957659968187</v>
      </c>
      <c r="AK27" s="36">
        <f t="shared" si="14"/>
        <v>1.1433538118955209E-2</v>
      </c>
      <c r="AL27">
        <f t="shared" si="15"/>
        <v>11.514840136908012</v>
      </c>
      <c r="AM27">
        <f t="shared" si="16"/>
        <v>1.0792988841954755E-3</v>
      </c>
      <c r="AN27">
        <f t="shared" si="10"/>
        <v>17.211818576793107</v>
      </c>
      <c r="AO27">
        <f t="shared" si="17"/>
        <v>6.9489561217418734</v>
      </c>
      <c r="AP27">
        <f t="shared" si="18"/>
        <v>7.4812403573321085</v>
      </c>
      <c r="AQ27">
        <f t="shared" si="19"/>
        <v>153.503228400908</v>
      </c>
      <c r="AR27">
        <f t="shared" si="20"/>
        <v>2.6166394742810422</v>
      </c>
      <c r="AS27">
        <f t="shared" si="21"/>
        <v>87.461990295212274</v>
      </c>
    </row>
    <row r="28" spans="1:45" x14ac:dyDescent="0.25">
      <c r="A28" s="8" t="s">
        <v>232</v>
      </c>
      <c r="B28" s="8" t="s">
        <v>97</v>
      </c>
      <c r="C28" s="8">
        <v>2014</v>
      </c>
      <c r="D28" s="12">
        <f>653192+3884458</f>
        <v>4537650</v>
      </c>
      <c r="E28" s="12">
        <f>D28+436652+290808+193669+279767</f>
        <v>5738546</v>
      </c>
      <c r="F28" s="12">
        <f>E28+32494+200273</f>
        <v>5971313</v>
      </c>
      <c r="G28" s="12">
        <f>M28-(237711+192541)</f>
        <v>1190100</v>
      </c>
      <c r="H28" s="12">
        <f>237711+192541</f>
        <v>430252</v>
      </c>
      <c r="I28" s="12">
        <f>1489545</f>
        <v>1489545</v>
      </c>
      <c r="J28" s="12">
        <f>K28-(I28+8578809)</f>
        <v>2893121</v>
      </c>
      <c r="K28" s="13">
        <f>12961475</f>
        <v>12961475</v>
      </c>
      <c r="L28" s="12">
        <f>14581827</f>
        <v>14581827</v>
      </c>
      <c r="M28" s="13">
        <f>1620352</f>
        <v>1620352</v>
      </c>
      <c r="N28" s="14">
        <f>(4764)*1000000</f>
        <v>4764000000</v>
      </c>
      <c r="O28" s="15">
        <f>(8535)*1000000</f>
        <v>8535000000</v>
      </c>
      <c r="P28" s="14">
        <f>(8003)*1000000</f>
        <v>8003000000</v>
      </c>
      <c r="Q28" s="14">
        <f>H28*1000</f>
        <v>430252000</v>
      </c>
      <c r="R28" s="14">
        <f>553554*1000</f>
        <v>553554000</v>
      </c>
      <c r="S28" s="9">
        <v>1881503</v>
      </c>
      <c r="T28" s="39">
        <v>13937300183.944407</v>
      </c>
      <c r="U28" s="38"/>
      <c r="V28" s="39">
        <f>23740*1000</f>
        <v>23740000</v>
      </c>
      <c r="W28" s="38">
        <v>89478670000</v>
      </c>
      <c r="X28" s="16">
        <f t="shared" si="22"/>
        <v>3.8128308545500378</v>
      </c>
      <c r="Y28" s="16">
        <f t="shared" si="0"/>
        <v>4.8219023611461225</v>
      </c>
      <c r="Z28" s="16">
        <f t="shared" si="1"/>
        <v>5.0174884463490459</v>
      </c>
      <c r="AA28" s="16">
        <f t="shared" si="2"/>
        <v>1.0664750718480569</v>
      </c>
      <c r="AB28" s="16">
        <f t="shared" si="3"/>
        <v>294.20840678967824</v>
      </c>
      <c r="AC28" s="16">
        <f t="shared" si="12"/>
        <v>0.30055671350373309</v>
      </c>
      <c r="AD28" s="16">
        <f t="shared" si="4"/>
        <v>2.950604200694467E-2</v>
      </c>
      <c r="AE28" s="26">
        <f t="shared" si="5"/>
        <v>228.6746287409587</v>
      </c>
      <c r="AF28" s="17">
        <f t="shared" si="6"/>
        <v>5.324173906474023E-2</v>
      </c>
      <c r="AG28" s="17">
        <f t="shared" si="7"/>
        <v>9.5385861233744304E-2</v>
      </c>
      <c r="AH28" s="17">
        <f t="shared" si="8"/>
        <v>8.9440310187891711E-2</v>
      </c>
      <c r="AI28" s="36">
        <f t="shared" si="9"/>
        <v>2.6531462749725717E-4</v>
      </c>
      <c r="AJ28" s="36">
        <f t="shared" si="13"/>
        <v>0.15576114602445931</v>
      </c>
      <c r="AK28" s="36"/>
      <c r="AL28">
        <f t="shared" ref="AL28:AL29" si="26">1/AD28</f>
        <v>33.89136366594461</v>
      </c>
      <c r="AM28">
        <f t="shared" ref="AM28:AM29" si="27">1/AE28</f>
        <v>4.3730255757091193E-3</v>
      </c>
      <c r="AN28">
        <f t="shared" ref="AN28:AN29" si="28">1/AF28</f>
        <v>18.782256507136861</v>
      </c>
      <c r="AO28">
        <f t="shared" ref="AO28:AO29" si="29">1/AG28</f>
        <v>10.483734036321032</v>
      </c>
      <c r="AP28">
        <f t="shared" ref="AP28:AP29" si="30">1/AH28</f>
        <v>11.180641009621391</v>
      </c>
      <c r="AQ28">
        <f t="shared" ref="AQ28:AQ29" si="31">1/AI28</f>
        <v>3769.1099410278011</v>
      </c>
      <c r="AR28">
        <f t="shared" ref="AR28:AR29" si="32">1/AJ28</f>
        <v>6.4200863021575936</v>
      </c>
      <c r="AS28" t="e">
        <f t="shared" ref="AS28:AS29" si="33">1/AK28</f>
        <v>#DIV/0!</v>
      </c>
    </row>
    <row r="29" spans="1:45" x14ac:dyDescent="0.25">
      <c r="A29" s="8" t="s">
        <v>233</v>
      </c>
      <c r="B29" s="8" t="s">
        <v>99</v>
      </c>
      <c r="C29" s="8">
        <v>2014</v>
      </c>
      <c r="D29" s="12">
        <f>2043360+1239937</f>
        <v>3283297</v>
      </c>
      <c r="E29" s="12">
        <f>D29+82694+1039073+377092+39030+461065+80475+326</f>
        <v>5363052</v>
      </c>
      <c r="F29" s="12">
        <f>E29+5795+16780+28983+13923+18</f>
        <v>5428551</v>
      </c>
      <c r="G29" s="12">
        <f>988573+73038+145185+26134+27411+39021+209130+74304</f>
        <v>1582796</v>
      </c>
      <c r="H29" s="12">
        <f>M29-G29</f>
        <v>4193576</v>
      </c>
      <c r="I29" s="12">
        <f>-348331</f>
        <v>-348331</v>
      </c>
      <c r="J29" s="12">
        <f>K29-(I29+4676172)</f>
        <v>1465877</v>
      </c>
      <c r="K29" s="13">
        <v>5793718</v>
      </c>
      <c r="L29" s="12">
        <v>11555204</v>
      </c>
      <c r="M29" s="13">
        <f>5776372</f>
        <v>5776372</v>
      </c>
      <c r="N29" s="14">
        <f>(1085656+922999+382976+256587+209784+269544+1225771)*1000</f>
        <v>4353317000</v>
      </c>
      <c r="O29" s="15">
        <f>9029911*1000</f>
        <v>9029911000</v>
      </c>
      <c r="P29" s="14">
        <f>8541625*1000</f>
        <v>8541625000</v>
      </c>
      <c r="Q29" s="59">
        <f>H29*1000</f>
        <v>4193576000</v>
      </c>
      <c r="R29" s="14">
        <f>494524*1000</f>
        <v>494524000</v>
      </c>
      <c r="S29" s="64">
        <v>2839099</v>
      </c>
      <c r="T29" s="38">
        <v>55421182088.421097</v>
      </c>
      <c r="U29" s="38">
        <v>1270691000</v>
      </c>
      <c r="V29" s="38">
        <f>3593454*1000</f>
        <v>3593454000</v>
      </c>
      <c r="W29" s="38">
        <v>115671839000</v>
      </c>
      <c r="X29" s="16">
        <f t="shared" si="22"/>
        <v>2.0743652372131343</v>
      </c>
      <c r="Y29" s="16">
        <f t="shared" si="0"/>
        <v>3.3883406326525969</v>
      </c>
      <c r="Z29" s="16">
        <f t="shared" si="1"/>
        <v>3.4297224658136614</v>
      </c>
      <c r="AA29" s="16">
        <f t="shared" si="2"/>
        <v>1.0571654690998493</v>
      </c>
      <c r="AB29" s="16">
        <f t="shared" si="3"/>
        <v>174.18342932035833</v>
      </c>
      <c r="AC29" s="16">
        <f t="shared" si="12"/>
        <v>9.6713653865392601E-2</v>
      </c>
      <c r="AD29" s="16">
        <f t="shared" si="4"/>
        <v>0.36291665642597049</v>
      </c>
      <c r="AE29" s="26">
        <f t="shared" si="5"/>
        <v>1477.0798763974065</v>
      </c>
      <c r="AF29" s="17">
        <f t="shared" si="6"/>
        <v>3.7635063448762149E-2</v>
      </c>
      <c r="AG29" s="17">
        <f t="shared" si="7"/>
        <v>7.8064903939151511E-2</v>
      </c>
      <c r="AH29" s="17">
        <f t="shared" si="8"/>
        <v>7.3843599910259919E-2</v>
      </c>
      <c r="AI29" s="36">
        <f t="shared" si="9"/>
        <v>3.1065936454939564E-2</v>
      </c>
      <c r="AJ29" s="36">
        <f t="shared" si="13"/>
        <v>0.47912424119427283</v>
      </c>
      <c r="AK29" s="36">
        <f t="shared" ref="AK29:AK41" si="34">U29/$W29</f>
        <v>1.0985309916270978E-2</v>
      </c>
      <c r="AL29">
        <f t="shared" si="26"/>
        <v>2.7554535794748922</v>
      </c>
      <c r="AM29">
        <f t="shared" si="27"/>
        <v>6.7701145752455658E-4</v>
      </c>
      <c r="AN29">
        <f t="shared" si="28"/>
        <v>26.570966231037161</v>
      </c>
      <c r="AO29">
        <f t="shared" si="29"/>
        <v>12.809853718381056</v>
      </c>
      <c r="AP29">
        <f t="shared" si="30"/>
        <v>13.542135015292757</v>
      </c>
      <c r="AQ29">
        <f t="shared" si="31"/>
        <v>32.189597807568987</v>
      </c>
      <c r="AR29">
        <f t="shared" si="32"/>
        <v>2.0871413174741145</v>
      </c>
      <c r="AS29">
        <f t="shared" si="33"/>
        <v>91.030658909207659</v>
      </c>
    </row>
    <row r="30" spans="1:45" x14ac:dyDescent="0.25">
      <c r="A30" s="8" t="s">
        <v>234</v>
      </c>
      <c r="B30" s="8" t="s">
        <v>101</v>
      </c>
      <c r="C30" s="8">
        <v>2014</v>
      </c>
      <c r="D30" s="12">
        <f>508393</f>
        <v>508393</v>
      </c>
      <c r="E30" s="12">
        <f>D30+580753</f>
        <v>1089146</v>
      </c>
      <c r="F30" s="12">
        <f>1951993</f>
        <v>1951993</v>
      </c>
      <c r="G30" s="12">
        <f t="shared" si="24"/>
        <v>789725</v>
      </c>
      <c r="H30" s="12">
        <f>2475588</f>
        <v>2475588</v>
      </c>
      <c r="I30" s="12">
        <f>-756251</f>
        <v>-756251</v>
      </c>
      <c r="J30" s="12">
        <f>K30-(I30+2475767)</f>
        <v>1038267</v>
      </c>
      <c r="K30" s="13">
        <v>2757783</v>
      </c>
      <c r="L30" s="12">
        <f>6009547</f>
        <v>6009547</v>
      </c>
      <c r="M30" s="13">
        <f>3265313</f>
        <v>3265313</v>
      </c>
      <c r="N30" s="14">
        <f>(398419+546829+263050+290020+219903+145658)*1000</f>
        <v>1863879000</v>
      </c>
      <c r="O30" s="15">
        <f>6056345*1000</f>
        <v>6056345000</v>
      </c>
      <c r="P30" s="14">
        <f>6032003*1000</f>
        <v>6032003000</v>
      </c>
      <c r="Q30" s="59">
        <f t="shared" si="23"/>
        <v>2475588000</v>
      </c>
      <c r="R30" s="14">
        <f>24342*1000</f>
        <v>24342000</v>
      </c>
      <c r="S30" s="64">
        <v>1326813</v>
      </c>
      <c r="T30" s="38">
        <v>14479373373.001801</v>
      </c>
      <c r="U30" s="38">
        <v>1865714000</v>
      </c>
      <c r="V30" s="38">
        <f>1623655*1000</f>
        <v>1623655000</v>
      </c>
      <c r="W30" s="38">
        <v>70020358000</v>
      </c>
      <c r="X30" s="16">
        <f t="shared" si="22"/>
        <v>0.64375953654753237</v>
      </c>
      <c r="Y30" s="16">
        <f t="shared" si="0"/>
        <v>1.3791459052201716</v>
      </c>
      <c r="Z30" s="16">
        <f t="shared" si="1"/>
        <v>2.4717376301877234</v>
      </c>
      <c r="AA30" s="16">
        <f t="shared" si="2"/>
        <v>1.0040354754465473</v>
      </c>
      <c r="AB30" s="16">
        <f t="shared" si="3"/>
        <v>18.346217590572294</v>
      </c>
      <c r="AC30" s="16">
        <f t="shared" si="12"/>
        <v>4.6927996403056671E-2</v>
      </c>
      <c r="AD30" s="16">
        <f t="shared" si="4"/>
        <v>0.41194253077644621</v>
      </c>
      <c r="AE30" s="26">
        <f t="shared" si="5"/>
        <v>1865.8153032868988</v>
      </c>
      <c r="AF30" s="17">
        <f t="shared" si="6"/>
        <v>2.6619101261950131E-2</v>
      </c>
      <c r="AG30" s="17">
        <f t="shared" si="7"/>
        <v>8.6494059341998789E-2</v>
      </c>
      <c r="AH30" s="17">
        <f t="shared" si="8"/>
        <v>8.614641758901033E-2</v>
      </c>
      <c r="AI30" s="36">
        <f t="shared" si="9"/>
        <v>2.3188327600381593E-2</v>
      </c>
      <c r="AJ30" s="36">
        <f t="shared" si="13"/>
        <v>0.20678805116937277</v>
      </c>
      <c r="AK30" s="36">
        <f t="shared" si="34"/>
        <v>2.6645307926017745E-2</v>
      </c>
      <c r="AL30">
        <f t="shared" si="15"/>
        <v>2.4275230773456649</v>
      </c>
      <c r="AM30">
        <f t="shared" si="16"/>
        <v>5.3595872980479787E-4</v>
      </c>
      <c r="AN30">
        <f t="shared" si="10"/>
        <v>37.567008373397627</v>
      </c>
      <c r="AO30">
        <f t="shared" si="17"/>
        <v>11.561487662938621</v>
      </c>
      <c r="AP30">
        <f t="shared" si="18"/>
        <v>11.60814376252797</v>
      </c>
      <c r="AQ30">
        <f t="shared" si="19"/>
        <v>43.125145428061991</v>
      </c>
      <c r="AR30">
        <f t="shared" si="20"/>
        <v>4.8358693567885869</v>
      </c>
      <c r="AS30">
        <f t="shared" si="21"/>
        <v>37.530059805522178</v>
      </c>
    </row>
    <row r="31" spans="1:45" s="8" customFormat="1" x14ac:dyDescent="0.25">
      <c r="A31" s="8" t="s">
        <v>235</v>
      </c>
      <c r="B31" s="8" t="s">
        <v>103</v>
      </c>
      <c r="C31" s="8">
        <v>2014</v>
      </c>
      <c r="D31" s="12">
        <f>(221970717+3695556647)/1000</f>
        <v>3917527.3640000001</v>
      </c>
      <c r="E31" s="12">
        <f>D31+((1340452387+4498878333+1813862998+855065786)/1000)</f>
        <v>12425786.868000001</v>
      </c>
      <c r="F31" s="12">
        <f>12447901335/1000</f>
        <v>12447901.335000001</v>
      </c>
      <c r="G31" s="12">
        <f>(6229507885)/1000</f>
        <v>6229507.8849999998</v>
      </c>
      <c r="H31" s="13">
        <f>(82987080422/1000)</f>
        <v>82987080.422000006</v>
      </c>
      <c r="I31" s="12">
        <f>-62152161079/1000</f>
        <v>-62152161.079000004</v>
      </c>
      <c r="J31" s="12">
        <f>K31-(I31+(8038178174/1000))</f>
        <v>4496990.2309999987</v>
      </c>
      <c r="K31" s="12">
        <f>-49616992674/1000</f>
        <v>-49616992.674000002</v>
      </c>
      <c r="L31" s="12">
        <f>39599595633/1000</f>
        <v>39599595.633000001</v>
      </c>
      <c r="M31" s="12">
        <f>89216588307/1000</f>
        <v>89216588.306999996</v>
      </c>
      <c r="N31" s="15">
        <f>(28838.6)*1000000</f>
        <v>28838600000</v>
      </c>
      <c r="O31" s="15">
        <f>57494.2*1000000</f>
        <v>57494200000</v>
      </c>
      <c r="P31" s="15">
        <f>61035.4*1000000</f>
        <v>61035400000</v>
      </c>
      <c r="Q31" s="59">
        <f>H31*1000</f>
        <v>82987080422</v>
      </c>
      <c r="R31" s="15">
        <f>-3541.2*1000000</f>
        <v>-3541200000</v>
      </c>
      <c r="S31" s="64">
        <v>8938175</v>
      </c>
      <c r="T31" s="39">
        <v>188395307825.86682</v>
      </c>
      <c r="U31" s="39">
        <v>66804600000</v>
      </c>
      <c r="V31" s="39">
        <v>41835284000</v>
      </c>
      <c r="W31" s="39">
        <v>515020298000</v>
      </c>
      <c r="X31" s="16">
        <f t="shared" si="22"/>
        <v>0.62886626621550545</v>
      </c>
      <c r="Y31" s="16">
        <f t="shared" si="0"/>
        <v>1.9946658865172944</v>
      </c>
      <c r="Z31" s="16">
        <f t="shared" si="1"/>
        <v>1.9982158406080903</v>
      </c>
      <c r="AA31" s="16">
        <f t="shared" si="2"/>
        <v>0.94198121090383613</v>
      </c>
      <c r="AB31" s="16">
        <f t="shared" si="3"/>
        <v>-396.18825990764333</v>
      </c>
      <c r="AC31" s="16">
        <f t="shared" si="12"/>
        <v>-1.4559535249383591</v>
      </c>
      <c r="AD31" s="16">
        <f t="shared" si="4"/>
        <v>2.0956547433237778</v>
      </c>
      <c r="AE31" s="27">
        <f t="shared" si="5"/>
        <v>9284.5665275070132</v>
      </c>
      <c r="AF31" s="17">
        <f t="shared" si="6"/>
        <v>5.5995074586361257E-2</v>
      </c>
      <c r="AG31" s="17">
        <f t="shared" si="7"/>
        <v>0.1116348233715635</v>
      </c>
      <c r="AH31" s="17">
        <f t="shared" si="8"/>
        <v>0.11851066887464695</v>
      </c>
      <c r="AI31" s="36">
        <f t="shared" si="9"/>
        <v>8.1230359584778922E-2</v>
      </c>
      <c r="AJ31" s="36">
        <f t="shared" si="13"/>
        <v>0.36580171414111295</v>
      </c>
      <c r="AK31" s="36">
        <f t="shared" si="34"/>
        <v>0.12971255746506519</v>
      </c>
      <c r="AL31">
        <f t="shared" si="15"/>
        <v>0.47717783818434084</v>
      </c>
      <c r="AM31">
        <f t="shared" si="16"/>
        <v>1.0770562061646497E-4</v>
      </c>
      <c r="AN31">
        <f t="shared" si="10"/>
        <v>17.858713599134493</v>
      </c>
      <c r="AO31">
        <f t="shared" si="17"/>
        <v>8.9577783150300387</v>
      </c>
      <c r="AP31">
        <f t="shared" si="18"/>
        <v>8.4380588642001211</v>
      </c>
      <c r="AQ31">
        <f t="shared" si="19"/>
        <v>12.31066814318746</v>
      </c>
      <c r="AR31">
        <f t="shared" si="20"/>
        <v>2.7337214707917865</v>
      </c>
      <c r="AS31">
        <f t="shared" si="21"/>
        <v>7.7093538169527251</v>
      </c>
    </row>
    <row r="32" spans="1:45" s="8" customFormat="1" x14ac:dyDescent="0.25">
      <c r="A32" s="8" t="s">
        <v>236</v>
      </c>
      <c r="B32" s="8" t="s">
        <v>105</v>
      </c>
      <c r="C32" s="8">
        <v>2014</v>
      </c>
      <c r="D32" s="13">
        <f>680570+2529366+64938</f>
        <v>3274874</v>
      </c>
      <c r="E32" s="13">
        <f>D32+1150878</f>
        <v>4425752</v>
      </c>
      <c r="F32" s="13">
        <f>6267420</f>
        <v>6267420</v>
      </c>
      <c r="G32" s="12">
        <f>2079795</f>
        <v>2079795</v>
      </c>
      <c r="H32" s="13">
        <f>4406097</f>
        <v>4406097</v>
      </c>
      <c r="I32" s="13">
        <f>1603828</f>
        <v>1603828</v>
      </c>
      <c r="J32" s="13">
        <f>K32-(I32+6681799)</f>
        <v>9845304</v>
      </c>
      <c r="K32" s="13">
        <f>18130931</f>
        <v>18130931</v>
      </c>
      <c r="L32" s="13">
        <f>24478737</f>
        <v>24478737</v>
      </c>
      <c r="M32" s="13">
        <f>6485892</f>
        <v>6485892</v>
      </c>
      <c r="N32" s="15">
        <f>5615920*1000</f>
        <v>5615920000</v>
      </c>
      <c r="O32" s="15">
        <f>17475824*1000</f>
        <v>17475824000</v>
      </c>
      <c r="P32" s="15">
        <f>16448576*1000</f>
        <v>16448576000</v>
      </c>
      <c r="Q32" s="59">
        <f t="shared" si="23"/>
        <v>4406097000</v>
      </c>
      <c r="R32" s="15">
        <f>1027248*1000</f>
        <v>1027248000</v>
      </c>
      <c r="S32" s="64">
        <v>2085572</v>
      </c>
      <c r="T32" s="39">
        <v>42362862432.725967</v>
      </c>
      <c r="U32" s="39">
        <v>3363280282</v>
      </c>
      <c r="V32" s="39">
        <f>3402571*1000</f>
        <v>3402571000</v>
      </c>
      <c r="W32" s="39">
        <v>77356150000</v>
      </c>
      <c r="X32" s="16">
        <f t="shared" si="22"/>
        <v>1.5746138441529094</v>
      </c>
      <c r="Y32" s="16">
        <f t="shared" si="0"/>
        <v>2.1279751129318032</v>
      </c>
      <c r="Z32" s="16">
        <f t="shared" si="1"/>
        <v>3.0134796939121404</v>
      </c>
      <c r="AA32" s="16">
        <f t="shared" si="2"/>
        <v>1.0624520931173616</v>
      </c>
      <c r="AB32" s="16">
        <f t="shared" si="3"/>
        <v>492.54976572374392</v>
      </c>
      <c r="AC32" s="16">
        <f t="shared" si="12"/>
        <v>0.46771743166324309</v>
      </c>
      <c r="AD32" s="16">
        <f t="shared" si="4"/>
        <v>0.17999690915425906</v>
      </c>
      <c r="AE32" s="26">
        <f t="shared" si="5"/>
        <v>2112.6563839560563</v>
      </c>
      <c r="AF32" s="17">
        <f t="shared" si="6"/>
        <v>7.2598235563688218E-2</v>
      </c>
      <c r="AG32" s="17">
        <f t="shared" si="7"/>
        <v>0.22591382844156541</v>
      </c>
      <c r="AH32" s="17">
        <f t="shared" si="8"/>
        <v>0.21263436714469372</v>
      </c>
      <c r="AI32" s="36">
        <f t="shared" si="9"/>
        <v>4.3985785228453068E-2</v>
      </c>
      <c r="AJ32" s="36">
        <f t="shared" si="13"/>
        <v>0.54763405925354314</v>
      </c>
      <c r="AK32" s="36">
        <f t="shared" si="34"/>
        <v>4.3477865457368287E-2</v>
      </c>
      <c r="AL32">
        <f t="shared" si="15"/>
        <v>5.5556509536671568</v>
      </c>
      <c r="AM32">
        <f t="shared" si="16"/>
        <v>4.7333774086226422E-4</v>
      </c>
      <c r="AN32">
        <f t="shared" si="10"/>
        <v>13.774439450704426</v>
      </c>
      <c r="AO32">
        <f t="shared" si="17"/>
        <v>4.4264665288457934</v>
      </c>
      <c r="AP32">
        <f t="shared" si="18"/>
        <v>4.7029086286861554</v>
      </c>
      <c r="AQ32">
        <f t="shared" si="19"/>
        <v>22.734617440752892</v>
      </c>
      <c r="AR32">
        <f t="shared" si="20"/>
        <v>1.8260369001940051</v>
      </c>
      <c r="AS32">
        <f t="shared" si="21"/>
        <v>23.000209174954513</v>
      </c>
    </row>
    <row r="33" spans="1:45" s="8" customFormat="1" x14ac:dyDescent="0.25">
      <c r="A33" s="8" t="s">
        <v>237</v>
      </c>
      <c r="B33" s="8" t="s">
        <v>107</v>
      </c>
      <c r="C33" s="8">
        <v>2014</v>
      </c>
      <c r="D33" s="13">
        <f>19199*1000</f>
        <v>19199000</v>
      </c>
      <c r="E33" s="12">
        <f>D33+(12408+7258+7396)*1000</f>
        <v>46261000</v>
      </c>
      <c r="F33" s="12">
        <f>E33+(483+435)*1000</f>
        <v>47179000</v>
      </c>
      <c r="G33" s="12">
        <f>(9551+1466+8534+6402+610+313+875)*1000</f>
        <v>27751000</v>
      </c>
      <c r="H33" s="13">
        <f>M33-G33</f>
        <v>92086000</v>
      </c>
      <c r="I33" s="13">
        <f>-48098*1000</f>
        <v>-48098000</v>
      </c>
      <c r="J33" s="13">
        <f>K33-(I33+70011*1000)</f>
        <v>5084000</v>
      </c>
      <c r="K33" s="13">
        <f>26997*1000</f>
        <v>26997000</v>
      </c>
      <c r="L33" s="13">
        <f>147620*1000</f>
        <v>147620000</v>
      </c>
      <c r="M33" s="13">
        <f>119837*1000</f>
        <v>119837000</v>
      </c>
      <c r="N33" s="15">
        <f>68371*1000000</f>
        <v>68371000000</v>
      </c>
      <c r="O33" s="15">
        <f>157299*1000000</f>
        <v>157299000000</v>
      </c>
      <c r="P33" s="15">
        <f>154271*1000000</f>
        <v>154271000000</v>
      </c>
      <c r="Q33" s="59">
        <f t="shared" si="23"/>
        <v>92086000000</v>
      </c>
      <c r="R33" s="15">
        <f>2466*1000000</f>
        <v>2466000000</v>
      </c>
      <c r="S33" s="64">
        <v>19746227</v>
      </c>
      <c r="T33" s="39">
        <v>270581672530.30222</v>
      </c>
      <c r="U33" s="39">
        <v>78727000000</v>
      </c>
      <c r="V33" s="39">
        <f>58322*1000000</f>
        <v>58322000000</v>
      </c>
      <c r="W33" s="39">
        <v>1098102853000</v>
      </c>
      <c r="X33" s="16">
        <f t="shared" si="22"/>
        <v>0.69183092501171128</v>
      </c>
      <c r="Y33" s="16">
        <f t="shared" si="0"/>
        <v>1.6670029908832114</v>
      </c>
      <c r="Z33" s="16">
        <f t="shared" si="1"/>
        <v>1.70008287989622</v>
      </c>
      <c r="AA33" s="16">
        <f t="shared" si="2"/>
        <v>1.0196277978362751</v>
      </c>
      <c r="AB33" s="16">
        <f t="shared" si="3"/>
        <v>124.88461719800952</v>
      </c>
      <c r="AC33" s="16">
        <f t="shared" si="12"/>
        <v>-0.29138328139818453</v>
      </c>
      <c r="AD33" s="16">
        <f t="shared" si="4"/>
        <v>0.62380436255249971</v>
      </c>
      <c r="AE33" s="26">
        <f t="shared" si="5"/>
        <v>4663.4731789521111</v>
      </c>
      <c r="AF33" s="17">
        <f t="shared" si="6"/>
        <v>6.2262837960225206E-2</v>
      </c>
      <c r="AG33" s="17">
        <f t="shared" si="7"/>
        <v>0.14324614453943141</v>
      </c>
      <c r="AH33" s="17">
        <f t="shared" si="8"/>
        <v>0.14048866149335101</v>
      </c>
      <c r="AI33" s="36">
        <f t="shared" si="9"/>
        <v>5.3111600466809822E-2</v>
      </c>
      <c r="AJ33" s="36">
        <f t="shared" si="13"/>
        <v>0.24640831393077367</v>
      </c>
      <c r="AK33" s="36">
        <f t="shared" si="34"/>
        <v>7.1693648536582028E-2</v>
      </c>
      <c r="AL33">
        <f t="shared" si="15"/>
        <v>1.6030666985209476</v>
      </c>
      <c r="AM33">
        <f t="shared" si="16"/>
        <v>2.1443245444475813E-4</v>
      </c>
      <c r="AN33">
        <f t="shared" si="10"/>
        <v>16.060944742654048</v>
      </c>
      <c r="AO33">
        <f t="shared" si="17"/>
        <v>6.9809906801696133</v>
      </c>
      <c r="AP33">
        <f t="shared" si="18"/>
        <v>7.1180121539369035</v>
      </c>
      <c r="AQ33">
        <f t="shared" si="19"/>
        <v>18.828278402661088</v>
      </c>
      <c r="AR33">
        <f t="shared" si="20"/>
        <v>4.0583046247414423</v>
      </c>
      <c r="AS33">
        <f t="shared" si="21"/>
        <v>13.948236983499942</v>
      </c>
    </row>
    <row r="34" spans="1:45" s="8" customFormat="1" x14ac:dyDescent="0.25">
      <c r="A34" s="8" t="s">
        <v>255</v>
      </c>
      <c r="B34" s="8" t="s">
        <v>109</v>
      </c>
      <c r="C34" s="8">
        <v>2014</v>
      </c>
      <c r="D34" s="12">
        <f>4673767+430148</f>
        <v>5103915</v>
      </c>
      <c r="E34" s="12">
        <f>D34+3976769</f>
        <v>9080684</v>
      </c>
      <c r="F34" s="12">
        <f>E34+898151+1930+189817+16652+4326+1061503+146968+44400+6176</f>
        <v>11450607</v>
      </c>
      <c r="G34" s="12">
        <f t="shared" si="24"/>
        <v>5491164</v>
      </c>
      <c r="H34" s="12">
        <f>1667203+9316953</f>
        <v>10984156</v>
      </c>
      <c r="I34" s="12">
        <f>-1145642</f>
        <v>-1145642</v>
      </c>
      <c r="J34" s="12">
        <f>K34-(I34+42631023)</f>
        <v>864601</v>
      </c>
      <c r="K34" s="13">
        <f>42349982</f>
        <v>42349982</v>
      </c>
      <c r="L34" s="12">
        <f>58608813</f>
        <v>58608813</v>
      </c>
      <c r="M34" s="13">
        <f>16475320</f>
        <v>16475320</v>
      </c>
      <c r="N34" s="14">
        <f>(10576575+1318091+5839362+1907803+888815+596801+476402+342784+273426+348938)*1000</f>
        <v>22568997000</v>
      </c>
      <c r="O34" s="15">
        <f>45655176*1000</f>
        <v>45655176000</v>
      </c>
      <c r="P34" s="14">
        <f>41674494*1000</f>
        <v>41674494000</v>
      </c>
      <c r="Q34" s="59">
        <f t="shared" si="23"/>
        <v>10984156000</v>
      </c>
      <c r="R34" s="14">
        <f>3984543*1000</f>
        <v>3984543000</v>
      </c>
      <c r="S34" s="64">
        <v>9943964</v>
      </c>
      <c r="T34" s="39">
        <v>72495176127.976608</v>
      </c>
      <c r="U34" s="39">
        <v>25639930000</v>
      </c>
      <c r="V34" s="39">
        <f>8588599*1000</f>
        <v>8588599000</v>
      </c>
      <c r="W34" s="39">
        <v>389512571000</v>
      </c>
      <c r="X34" s="16">
        <f t="shared" ref="X34:X51" si="35">D34/G34</f>
        <v>0.92947779377924244</v>
      </c>
      <c r="Y34" s="16">
        <f t="shared" ref="Y34:Y52" si="36">E34/G34</f>
        <v>1.6536901829921671</v>
      </c>
      <c r="Z34" s="16">
        <f t="shared" ref="Z34:Z52" si="37">F34/G34</f>
        <v>2.0852786403757015</v>
      </c>
      <c r="AA34" s="16">
        <f t="shared" ref="AA34:AA52" si="38">O34/P34</f>
        <v>1.0955184242908864</v>
      </c>
      <c r="AB34" s="16">
        <f t="shared" ref="AB34:AB52" si="39">R34/S34</f>
        <v>400.69966061824039</v>
      </c>
      <c r="AC34" s="16">
        <f t="shared" ref="AC34:AC52" si="40">(I34+J34)/L34</f>
        <v>-4.7952003395803286E-3</v>
      </c>
      <c r="AD34" s="16">
        <f t="shared" ref="AD34:AD52" si="41">H34/L34</f>
        <v>0.1874147493824862</v>
      </c>
      <c r="AE34" s="26">
        <f t="shared" ref="AE34:AE52" si="42">Q34/S34</f>
        <v>1104.6053666324617</v>
      </c>
      <c r="AF34" s="17">
        <f t="shared" ref="AF34:AF52" si="43">N34/W34</f>
        <v>5.7941639578045864E-2</v>
      </c>
      <c r="AG34" s="17">
        <f t="shared" ref="AG34:AG52" si="44">O34/W34</f>
        <v>0.11721104631562712</v>
      </c>
      <c r="AH34" s="17">
        <f t="shared" ref="AH34:AH52" si="45">P34/W34</f>
        <v>0.10699139669101976</v>
      </c>
      <c r="AI34" s="36">
        <f t="shared" ref="AI34:AI52" si="46">V34/$W34</f>
        <v>2.2049606712179773E-2</v>
      </c>
      <c r="AJ34" s="36">
        <f t="shared" si="13"/>
        <v>0.18611768021211467</v>
      </c>
      <c r="AK34" s="36">
        <f t="shared" si="34"/>
        <v>6.582568037322728E-2</v>
      </c>
      <c r="AL34">
        <f t="shared" ref="AL34:AL51" si="47">1/AD34</f>
        <v>5.3357593428206957</v>
      </c>
      <c r="AM34">
        <f t="shared" si="16"/>
        <v>9.0530068946580871E-4</v>
      </c>
      <c r="AN34">
        <f t="shared" si="10"/>
        <v>17.258745304454603</v>
      </c>
      <c r="AO34">
        <f t="shared" si="17"/>
        <v>8.5316190873954802</v>
      </c>
      <c r="AP34">
        <f t="shared" si="18"/>
        <v>9.3465458992735471</v>
      </c>
      <c r="AQ34">
        <f t="shared" si="19"/>
        <v>45.352282834487902</v>
      </c>
      <c r="AR34">
        <f t="shared" si="20"/>
        <v>5.3729446813452633</v>
      </c>
      <c r="AS34">
        <f t="shared" si="21"/>
        <v>15.191639407751895</v>
      </c>
    </row>
    <row r="35" spans="1:45" s="8" customFormat="1" x14ac:dyDescent="0.25">
      <c r="A35" s="8" t="s">
        <v>238</v>
      </c>
      <c r="B35" s="8" t="s">
        <v>111</v>
      </c>
      <c r="C35" s="8">
        <v>2014</v>
      </c>
      <c r="D35" s="67">
        <f>(1013369189+11523448084)/1000</f>
        <v>12536817.273</v>
      </c>
      <c r="E35" s="67">
        <f>D35+((268871585+667818775+71910992+264935029+445781977)/1000)</f>
        <v>14256135.631000001</v>
      </c>
      <c r="F35" s="67">
        <f>L35-((156645647+31214329+2422000+630259000+1039365204+2715738549)/1000)</f>
        <v>18094915.983000003</v>
      </c>
      <c r="G35" s="12">
        <f>M35-((332537047+2495609808)/1000)</f>
        <v>2524066.0960000004</v>
      </c>
      <c r="H35" s="12">
        <v>2828147</v>
      </c>
      <c r="I35" s="67">
        <f>8407569487/1000</f>
        <v>8407569.4869999997</v>
      </c>
      <c r="J35" s="67">
        <f>K35-(I35+(3346629894/1000))</f>
        <v>5566447.8990000021</v>
      </c>
      <c r="K35" s="67">
        <f>17320647280/1000</f>
        <v>17320647.280000001</v>
      </c>
      <c r="L35" s="67">
        <f>(22670560712/1000)</f>
        <v>22670560.712000001</v>
      </c>
      <c r="M35" s="67">
        <f>(5352212951/1000)</f>
        <v>5352212.9510000004</v>
      </c>
      <c r="N35" s="15">
        <f>(700868+1756778+3418372)*1000</f>
        <v>5876018000</v>
      </c>
      <c r="O35" s="15">
        <f>10590880*1000</f>
        <v>10590880000</v>
      </c>
      <c r="P35" s="15">
        <f>7460862*1000</f>
        <v>7460862000</v>
      </c>
      <c r="Q35" s="59">
        <f t="shared" si="23"/>
        <v>2828147000</v>
      </c>
      <c r="R35" s="15">
        <f>3176147*1000</f>
        <v>3176147000</v>
      </c>
      <c r="S35" s="64">
        <v>739482</v>
      </c>
      <c r="T35" s="39">
        <v>8270527860.4330826</v>
      </c>
      <c r="U35" s="39">
        <v>72500000</v>
      </c>
      <c r="V35" s="39">
        <f>1599742*1000</f>
        <v>1599742000</v>
      </c>
      <c r="W35" s="39">
        <v>41264895000</v>
      </c>
      <c r="X35" s="16">
        <f>D35/G35</f>
        <v>4.9669132250013783</v>
      </c>
      <c r="Y35" s="16">
        <f t="shared" si="36"/>
        <v>5.6480833261824372</v>
      </c>
      <c r="Z35" s="16">
        <f t="shared" si="37"/>
        <v>7.1689548905537057</v>
      </c>
      <c r="AA35" s="16">
        <f t="shared" si="38"/>
        <v>1.419524982502022</v>
      </c>
      <c r="AB35" s="16">
        <f t="shared" si="39"/>
        <v>4295.097108516502</v>
      </c>
      <c r="AC35" s="16">
        <f t="shared" si="40"/>
        <v>0.61639487278333005</v>
      </c>
      <c r="AD35" s="16">
        <f t="shared" si="41"/>
        <v>0.12474975965208494</v>
      </c>
      <c r="AE35" s="26">
        <f t="shared" si="42"/>
        <v>3824.4974184631947</v>
      </c>
      <c r="AF35" s="17">
        <f t="shared" si="43"/>
        <v>0.1423975027683943</v>
      </c>
      <c r="AG35" s="17">
        <f t="shared" si="44"/>
        <v>0.25665592993754133</v>
      </c>
      <c r="AH35" s="17">
        <f t="shared" si="45"/>
        <v>0.18080409510311368</v>
      </c>
      <c r="AI35" s="36">
        <f t="shared" si="46"/>
        <v>3.8767625605251148E-2</v>
      </c>
      <c r="AJ35" s="36">
        <f t="shared" ref="AJ35:AJ52" si="48">T35/W35</f>
        <v>0.20042527335724669</v>
      </c>
      <c r="AK35" s="36">
        <f t="shared" si="34"/>
        <v>1.7569413420293449E-3</v>
      </c>
      <c r="AL35">
        <f t="shared" si="47"/>
        <v>8.0160475081387226</v>
      </c>
      <c r="AM35">
        <f t="shared" ref="AM35:AM51" si="49">1/AE35</f>
        <v>2.6147226434835246E-4</v>
      </c>
      <c r="AN35">
        <f t="shared" ref="AN35:AN51" si="50">1/AF35</f>
        <v>7.0225950635277155</v>
      </c>
      <c r="AO35">
        <f t="shared" ref="AO35:AO51" si="51">1/AG35</f>
        <v>3.8962668824498059</v>
      </c>
      <c r="AP35">
        <f t="shared" ref="AP35:AP51" si="52">1/AH35</f>
        <v>5.5308481781327679</v>
      </c>
      <c r="AQ35">
        <f t="shared" ref="AQ35:AQ51" si="53">1/AI35</f>
        <v>25.794718773402209</v>
      </c>
      <c r="AR35">
        <f t="shared" ref="AR35:AR51" si="54">1/AJ35</f>
        <v>4.989390725278227</v>
      </c>
      <c r="AS35">
        <f t="shared" ref="AS35:AS51" si="55">1/AK35</f>
        <v>569.17096551724137</v>
      </c>
    </row>
    <row r="36" spans="1:45" s="8" customFormat="1" x14ac:dyDescent="0.25">
      <c r="A36" s="8" t="s">
        <v>239</v>
      </c>
      <c r="B36" s="8" t="s">
        <v>113</v>
      </c>
      <c r="C36" s="8">
        <v>2014</v>
      </c>
      <c r="D36" s="12">
        <f>10213060+797482+25879477</f>
        <v>36890019</v>
      </c>
      <c r="E36" s="12">
        <f>D36+1569850+1196689+3645440+217563+1099474+8437+1417472</f>
        <v>46044944</v>
      </c>
      <c r="F36" s="12">
        <f>E36+2847014+388859+102410+30987</f>
        <v>49414214</v>
      </c>
      <c r="G36" s="12">
        <f>M36-H36</f>
        <v>7942732</v>
      </c>
      <c r="H36" s="12">
        <f>1137433+16420273+26446+147157+4243916+19522665</f>
        <v>41497890</v>
      </c>
      <c r="I36" s="12">
        <f>-6499358</f>
        <v>-6499358</v>
      </c>
      <c r="J36" s="12">
        <f>K36-(I36+22757715)</f>
        <v>13937320</v>
      </c>
      <c r="K36" s="13">
        <f>30195677</f>
        <v>30195677</v>
      </c>
      <c r="L36" s="12">
        <f>77159243</f>
        <v>77159243</v>
      </c>
      <c r="M36" s="13">
        <f>49440622</f>
        <v>49440622</v>
      </c>
      <c r="N36" s="14">
        <f>(22126159+1782437)*1000</f>
        <v>23908596000</v>
      </c>
      <c r="O36" s="15">
        <f>61776597*1000</f>
        <v>61776597000</v>
      </c>
      <c r="P36" s="14">
        <f>58838930*1000</f>
        <v>58838930000</v>
      </c>
      <c r="Q36" s="59">
        <f t="shared" si="23"/>
        <v>41497890000</v>
      </c>
      <c r="R36" s="14">
        <f>3219605*1000</f>
        <v>3219605000</v>
      </c>
      <c r="S36" s="64">
        <v>11594163</v>
      </c>
      <c r="T36" s="39">
        <v>262470254818.22046</v>
      </c>
      <c r="U36" s="39">
        <v>15457584000</v>
      </c>
      <c r="V36" s="39">
        <f>17749721*1000</f>
        <v>17749721000</v>
      </c>
      <c r="W36" s="39">
        <v>489694974000</v>
      </c>
      <c r="X36" s="16">
        <f t="shared" si="35"/>
        <v>4.6445000284536855</v>
      </c>
      <c r="Y36" s="16">
        <f t="shared" si="36"/>
        <v>5.7971166596078021</v>
      </c>
      <c r="Z36" s="16">
        <f t="shared" si="37"/>
        <v>6.2213120120381751</v>
      </c>
      <c r="AA36" s="16">
        <f t="shared" si="38"/>
        <v>1.0499272675420848</v>
      </c>
      <c r="AB36" s="16">
        <f t="shared" si="39"/>
        <v>277.69188685720565</v>
      </c>
      <c r="AC36" s="16">
        <f t="shared" si="40"/>
        <v>9.6397550193694878E-2</v>
      </c>
      <c r="AD36" s="16">
        <f t="shared" si="41"/>
        <v>0.53782137287168563</v>
      </c>
      <c r="AE36" s="26">
        <f t="shared" si="42"/>
        <v>3579.2053294403399</v>
      </c>
      <c r="AF36" s="17">
        <f t="shared" si="43"/>
        <v>4.882344575584719E-2</v>
      </c>
      <c r="AG36" s="17">
        <f t="shared" si="44"/>
        <v>0.12615321839100599</v>
      </c>
      <c r="AH36" s="17">
        <f t="shared" si="45"/>
        <v>0.12015424524246802</v>
      </c>
      <c r="AI36" s="36">
        <f t="shared" si="46"/>
        <v>3.6246483918374872E-2</v>
      </c>
      <c r="AJ36" s="36">
        <f t="shared" si="48"/>
        <v>0.53598723440894547</v>
      </c>
      <c r="AK36" s="36">
        <f t="shared" si="34"/>
        <v>3.1565739533197662E-2</v>
      </c>
      <c r="AL36">
        <f t="shared" si="47"/>
        <v>1.8593534032694192</v>
      </c>
      <c r="AM36">
        <f t="shared" si="49"/>
        <v>2.7939162689958453E-4</v>
      </c>
      <c r="AN36">
        <f t="shared" si="50"/>
        <v>20.481962805344153</v>
      </c>
      <c r="AO36">
        <f t="shared" si="51"/>
        <v>7.9268687137298937</v>
      </c>
      <c r="AP36">
        <f t="shared" si="52"/>
        <v>8.3226356087712663</v>
      </c>
      <c r="AQ36">
        <f t="shared" si="53"/>
        <v>27.588882890046552</v>
      </c>
      <c r="AR36">
        <f t="shared" si="54"/>
        <v>1.8657160764336858</v>
      </c>
      <c r="AS36">
        <f t="shared" si="55"/>
        <v>31.679916732136146</v>
      </c>
    </row>
    <row r="37" spans="1:45" s="8" customFormat="1" x14ac:dyDescent="0.25">
      <c r="A37" s="8" t="s">
        <v>240</v>
      </c>
      <c r="B37" s="8" t="s">
        <v>115</v>
      </c>
      <c r="C37" s="8">
        <v>2014</v>
      </c>
      <c r="D37" s="12">
        <f>4806329+443050+105919</f>
        <v>5355298</v>
      </c>
      <c r="E37" s="12">
        <f>D37+(97061+48418+472411+414271+4132+35930+54+65628)</f>
        <v>6493203</v>
      </c>
      <c r="F37" s="12">
        <f>6573931</f>
        <v>6573931</v>
      </c>
      <c r="G37" s="12">
        <f>1734064</f>
        <v>1734064</v>
      </c>
      <c r="H37" s="12">
        <f>2471223</f>
        <v>2471223</v>
      </c>
      <c r="I37" s="12">
        <f>2175839</f>
        <v>2175839</v>
      </c>
      <c r="J37" s="12">
        <f>K37-(I37+9994206)</f>
        <v>6272000</v>
      </c>
      <c r="K37" s="13">
        <f>18442045</f>
        <v>18442045</v>
      </c>
      <c r="L37" s="12">
        <f>22743784</f>
        <v>22743784</v>
      </c>
      <c r="M37" s="13">
        <f>4205287</f>
        <v>4205287</v>
      </c>
      <c r="N37" s="14">
        <f>(2855601+408665+2598873+657476+778694+419084+927755)*1000</f>
        <v>8646148000</v>
      </c>
      <c r="O37" s="15">
        <f>19170474*1000</f>
        <v>19170474000</v>
      </c>
      <c r="P37" s="14">
        <f>18224084*1000</f>
        <v>18224084000</v>
      </c>
      <c r="Q37" s="59">
        <f t="shared" si="23"/>
        <v>2471223000</v>
      </c>
      <c r="R37" s="14">
        <f>1006906*1000</f>
        <v>1006906000</v>
      </c>
      <c r="S37" s="64">
        <v>3878051</v>
      </c>
      <c r="T37" s="39">
        <v>41648578034.491112</v>
      </c>
      <c r="U37" s="39">
        <v>4760000</v>
      </c>
      <c r="V37" s="39">
        <f>2371358*1000</f>
        <v>2371358000</v>
      </c>
      <c r="W37" s="39">
        <v>169227826000</v>
      </c>
      <c r="X37" s="16">
        <f t="shared" si="35"/>
        <v>3.088293165650172</v>
      </c>
      <c r="Y37" s="16">
        <f t="shared" si="36"/>
        <v>3.7445002029913543</v>
      </c>
      <c r="Z37" s="16">
        <f t="shared" si="37"/>
        <v>3.7910544247501821</v>
      </c>
      <c r="AA37" s="16">
        <f t="shared" si="38"/>
        <v>1.0519307307846035</v>
      </c>
      <c r="AB37" s="16">
        <f t="shared" si="39"/>
        <v>259.64227907265791</v>
      </c>
      <c r="AC37" s="16">
        <f t="shared" si="40"/>
        <v>0.37143506990745251</v>
      </c>
      <c r="AD37" s="16">
        <f t="shared" si="41"/>
        <v>0.10865487466817307</v>
      </c>
      <c r="AE37" s="26">
        <f t="shared" si="42"/>
        <v>637.23323906776886</v>
      </c>
      <c r="AF37" s="17">
        <f t="shared" si="43"/>
        <v>5.1091763124109388E-2</v>
      </c>
      <c r="AG37" s="17">
        <f t="shared" si="44"/>
        <v>0.11328204381707296</v>
      </c>
      <c r="AH37" s="17">
        <f t="shared" si="45"/>
        <v>0.10768964200958299</v>
      </c>
      <c r="AI37" s="36">
        <f t="shared" si="46"/>
        <v>1.401281370830823E-2</v>
      </c>
      <c r="AJ37" s="36">
        <f t="shared" si="48"/>
        <v>0.24610951413209736</v>
      </c>
      <c r="AK37" s="36">
        <f t="shared" si="34"/>
        <v>2.8127761920193906E-5</v>
      </c>
      <c r="AL37">
        <f t="shared" si="47"/>
        <v>9.2034527033780442</v>
      </c>
      <c r="AM37">
        <f t="shared" si="49"/>
        <v>1.5692841155978234E-3</v>
      </c>
      <c r="AN37">
        <f t="shared" si="50"/>
        <v>19.572626561562444</v>
      </c>
      <c r="AO37">
        <f t="shared" si="51"/>
        <v>8.8275243481199261</v>
      </c>
      <c r="AP37">
        <f t="shared" si="52"/>
        <v>9.2859441385366743</v>
      </c>
      <c r="AQ37">
        <f t="shared" si="53"/>
        <v>71.363255147472458</v>
      </c>
      <c r="AR37">
        <f t="shared" si="54"/>
        <v>4.0632317833241416</v>
      </c>
      <c r="AS37">
        <f t="shared" si="55"/>
        <v>35552.064285714281</v>
      </c>
    </row>
    <row r="38" spans="1:45" s="8" customFormat="1" x14ac:dyDescent="0.25">
      <c r="A38" s="8" t="s">
        <v>241</v>
      </c>
      <c r="B38" s="8" t="s">
        <v>117</v>
      </c>
      <c r="C38" s="8">
        <v>2014</v>
      </c>
      <c r="D38" s="12">
        <f>6114022+1421018</f>
        <v>7535040</v>
      </c>
      <c r="E38" s="12">
        <f>D38+1835987+570483</f>
        <v>9941510</v>
      </c>
      <c r="F38" s="12">
        <f>10726274</f>
        <v>10726274</v>
      </c>
      <c r="G38" s="12">
        <f>4041738</f>
        <v>4041738</v>
      </c>
      <c r="H38" s="12">
        <f>12606989</f>
        <v>12606989</v>
      </c>
      <c r="I38" s="12">
        <f>2536427</f>
        <v>2536427</v>
      </c>
      <c r="J38" s="12">
        <f>K38-(I38+11425191)</f>
        <v>4073591</v>
      </c>
      <c r="K38" s="13">
        <v>18035209</v>
      </c>
      <c r="L38" s="12">
        <f>34597673</f>
        <v>34597673</v>
      </c>
      <c r="M38" s="13">
        <f>16648728</f>
        <v>16648728</v>
      </c>
      <c r="N38" s="14">
        <f>(6596.7+506.9+2429.1)*1000000</f>
        <v>9532699999.9999981</v>
      </c>
      <c r="O38" s="14">
        <f>25723.7*1000000</f>
        <v>25723700000</v>
      </c>
      <c r="P38" s="14">
        <f>24535.2*1000000</f>
        <v>24535200000</v>
      </c>
      <c r="Q38" s="59">
        <f t="shared" si="23"/>
        <v>12606989000</v>
      </c>
      <c r="R38" s="14">
        <f>1189.6*1000000</f>
        <v>1189600000</v>
      </c>
      <c r="S38" s="64">
        <v>3970239</v>
      </c>
      <c r="T38" s="39">
        <v>59149643394.16954</v>
      </c>
      <c r="U38" s="39">
        <v>176300000</v>
      </c>
      <c r="V38" s="39">
        <f>11187127*1000</f>
        <v>11187127000</v>
      </c>
      <c r="W38" s="39">
        <v>163652836000</v>
      </c>
      <c r="X38" s="16">
        <f t="shared" si="35"/>
        <v>1.8643068897588118</v>
      </c>
      <c r="Y38" s="16">
        <f t="shared" si="36"/>
        <v>2.4597116389038578</v>
      </c>
      <c r="Z38" s="16">
        <f t="shared" si="37"/>
        <v>2.6538766243630834</v>
      </c>
      <c r="AA38" s="16">
        <f t="shared" si="38"/>
        <v>1.0484406077798429</v>
      </c>
      <c r="AB38" s="16">
        <f t="shared" si="39"/>
        <v>299.6293170260027</v>
      </c>
      <c r="AC38" s="16">
        <f t="shared" si="40"/>
        <v>0.19105383185742</v>
      </c>
      <c r="AD38" s="16">
        <f t="shared" si="41"/>
        <v>0.36438835062693381</v>
      </c>
      <c r="AE38" s="26">
        <f t="shared" si="42"/>
        <v>3175.3728176061945</v>
      </c>
      <c r="AF38" s="17">
        <f t="shared" si="43"/>
        <v>5.8249525232792164E-2</v>
      </c>
      <c r="AG38" s="17">
        <f t="shared" si="44"/>
        <v>0.15718456599187808</v>
      </c>
      <c r="AH38" s="17">
        <f t="shared" si="45"/>
        <v>0.14992224149418346</v>
      </c>
      <c r="AI38" s="36">
        <f t="shared" si="46"/>
        <v>6.8358894800943135E-2</v>
      </c>
      <c r="AJ38" s="36">
        <f t="shared" si="48"/>
        <v>0.36143365944583777</v>
      </c>
      <c r="AK38" s="36">
        <f t="shared" si="34"/>
        <v>1.0772804450513769E-3</v>
      </c>
      <c r="AL38">
        <f t="shared" si="47"/>
        <v>2.7443248344231916</v>
      </c>
      <c r="AM38">
        <f t="shared" si="49"/>
        <v>3.1492365068296643E-4</v>
      </c>
      <c r="AN38">
        <f t="shared" si="50"/>
        <v>17.167521898307932</v>
      </c>
      <c r="AO38">
        <f t="shared" si="51"/>
        <v>6.3619477757865317</v>
      </c>
      <c r="AP38">
        <f t="shared" si="52"/>
        <v>6.6701243927092504</v>
      </c>
      <c r="AQ38">
        <f t="shared" si="53"/>
        <v>14.62867418953946</v>
      </c>
      <c r="AR38">
        <f t="shared" si="54"/>
        <v>2.7667594698657387</v>
      </c>
      <c r="AS38">
        <f t="shared" si="55"/>
        <v>928.26339194554737</v>
      </c>
    </row>
    <row r="39" spans="1:45" s="8" customFormat="1" x14ac:dyDescent="0.25">
      <c r="A39" s="8" t="s">
        <v>256</v>
      </c>
      <c r="B39" s="8" t="s">
        <v>119</v>
      </c>
      <c r="C39" s="8">
        <v>2014</v>
      </c>
      <c r="D39" s="12">
        <f>1049175+727442+7484673</f>
        <v>9261290</v>
      </c>
      <c r="E39" s="12">
        <f>D39+(2115123+704618+1490671+20004+19722+66805+1199+23798+127650)</f>
        <v>13830880</v>
      </c>
      <c r="F39" s="12">
        <f>17081317</f>
        <v>17081317</v>
      </c>
      <c r="G39" s="12">
        <f>12419108</f>
        <v>12419108</v>
      </c>
      <c r="H39" s="12">
        <f>25012258</f>
        <v>25012258</v>
      </c>
      <c r="I39" s="12">
        <f>-9620249</f>
        <v>-9620249</v>
      </c>
      <c r="J39" s="12">
        <f>K39-(I39+28834175)</f>
        <v>3132824</v>
      </c>
      <c r="K39" s="13">
        <f>22346750</f>
        <v>22346750</v>
      </c>
      <c r="L39" s="12">
        <f>59601251</f>
        <v>59601251</v>
      </c>
      <c r="M39" s="15">
        <f>37431366</f>
        <v>37431366</v>
      </c>
      <c r="N39" s="14">
        <f>31936980*1000</f>
        <v>31936980000</v>
      </c>
      <c r="O39" s="15">
        <f>69566*1000000</f>
        <v>69566000000</v>
      </c>
      <c r="P39" s="14">
        <f>70277679*1000</f>
        <v>70277679000</v>
      </c>
      <c r="Q39" s="59">
        <f t="shared" si="23"/>
        <v>25012258000</v>
      </c>
      <c r="R39" s="14">
        <f>-711452*1000</f>
        <v>-711452000</v>
      </c>
      <c r="S39" s="64">
        <v>12787209</v>
      </c>
      <c r="T39" s="39">
        <v>169643259106.69183</v>
      </c>
      <c r="U39" s="39">
        <v>17380460000</v>
      </c>
      <c r="V39" s="39">
        <f>17656577*1000</f>
        <v>17656577000</v>
      </c>
      <c r="W39" s="39">
        <v>609679210000</v>
      </c>
      <c r="X39" s="16">
        <f t="shared" si="35"/>
        <v>0.74572908134787141</v>
      </c>
      <c r="Y39" s="16">
        <f t="shared" si="36"/>
        <v>1.113677407427329</v>
      </c>
      <c r="Z39" s="16">
        <f t="shared" si="37"/>
        <v>1.3754061080715299</v>
      </c>
      <c r="AA39" s="16">
        <f t="shared" si="38"/>
        <v>0.98987332805911243</v>
      </c>
      <c r="AB39" s="16">
        <f t="shared" si="39"/>
        <v>-55.637786165847452</v>
      </c>
      <c r="AC39" s="16">
        <f t="shared" si="40"/>
        <v>-0.1088471280577651</v>
      </c>
      <c r="AD39" s="16">
        <f t="shared" si="41"/>
        <v>0.41965994975508147</v>
      </c>
      <c r="AE39" s="26">
        <f t="shared" si="42"/>
        <v>1956.0373182294902</v>
      </c>
      <c r="AF39" s="17">
        <f t="shared" si="43"/>
        <v>5.2383252497653646E-2</v>
      </c>
      <c r="AG39" s="17">
        <f t="shared" si="44"/>
        <v>0.11410262783931897</v>
      </c>
      <c r="AH39" s="17">
        <f t="shared" si="45"/>
        <v>0.11526992859080762</v>
      </c>
      <c r="AI39" s="36">
        <f t="shared" si="46"/>
        <v>2.8960438063813921E-2</v>
      </c>
      <c r="AJ39" s="36">
        <f t="shared" si="48"/>
        <v>0.27825003103958856</v>
      </c>
      <c r="AK39" s="36">
        <f t="shared" si="34"/>
        <v>2.850754907650533E-2</v>
      </c>
      <c r="AL39">
        <f t="shared" si="47"/>
        <v>2.3828816654617908</v>
      </c>
      <c r="AM39">
        <f t="shared" si="49"/>
        <v>5.1123768993587059E-4</v>
      </c>
      <c r="AN39">
        <f t="shared" si="50"/>
        <v>19.090070820722559</v>
      </c>
      <c r="AO39">
        <f t="shared" si="51"/>
        <v>8.7640400482994565</v>
      </c>
      <c r="AP39">
        <f t="shared" si="52"/>
        <v>8.6752894898535278</v>
      </c>
      <c r="AQ39">
        <f t="shared" si="53"/>
        <v>34.529864423891446</v>
      </c>
      <c r="AR39">
        <f t="shared" si="54"/>
        <v>3.5938899854344419</v>
      </c>
      <c r="AS39">
        <f t="shared" si="55"/>
        <v>35.07842772861018</v>
      </c>
    </row>
    <row r="40" spans="1:45" s="8" customFormat="1" x14ac:dyDescent="0.25">
      <c r="A40" s="8" t="s">
        <v>242</v>
      </c>
      <c r="B40" s="8" t="s">
        <v>121</v>
      </c>
      <c r="C40" s="8">
        <v>2014</v>
      </c>
      <c r="D40" s="12">
        <f>841540+107675</f>
        <v>949215</v>
      </c>
      <c r="E40" s="12">
        <f>D40+697925</f>
        <v>1647140</v>
      </c>
      <c r="F40" s="12">
        <f>1913048</f>
        <v>1913048</v>
      </c>
      <c r="G40" s="12">
        <f>1107292</f>
        <v>1107292</v>
      </c>
      <c r="H40" s="12">
        <f>2806036</f>
        <v>2806036</v>
      </c>
      <c r="I40" s="12">
        <f>-1505796</f>
        <v>-1505796</v>
      </c>
      <c r="J40" s="12">
        <f>K40-(I40+2644149)</f>
        <v>833069</v>
      </c>
      <c r="K40" s="13">
        <f>1971422</f>
        <v>1971422</v>
      </c>
      <c r="L40" s="12">
        <f>5879284</f>
        <v>5879284</v>
      </c>
      <c r="M40" s="13">
        <f>3913328</f>
        <v>3913328</v>
      </c>
      <c r="N40" s="14">
        <f>2980387*1000</f>
        <v>2980387000</v>
      </c>
      <c r="O40" s="14">
        <f>7486269*1000</f>
        <v>7486269000</v>
      </c>
      <c r="P40" s="14">
        <f>7194964*1000</f>
        <v>7194964000</v>
      </c>
      <c r="Q40" s="59">
        <f t="shared" si="23"/>
        <v>2806036000</v>
      </c>
      <c r="R40" s="14">
        <f>291305*1000</f>
        <v>291305000</v>
      </c>
      <c r="S40" s="64">
        <v>1055173</v>
      </c>
      <c r="T40" s="39">
        <v>14972850774.959656</v>
      </c>
      <c r="U40" s="39">
        <v>714139000</v>
      </c>
      <c r="V40" s="39">
        <f>2670021*1000</f>
        <v>2670021000</v>
      </c>
      <c r="W40" s="39">
        <v>51026876000</v>
      </c>
      <c r="X40" s="16">
        <f t="shared" si="35"/>
        <v>0.85724000534637657</v>
      </c>
      <c r="Y40" s="16">
        <f t="shared" si="36"/>
        <v>1.4875389689440546</v>
      </c>
      <c r="Z40" s="16">
        <f t="shared" si="37"/>
        <v>1.7276815871513567</v>
      </c>
      <c r="AA40" s="16">
        <f t="shared" si="38"/>
        <v>1.0404873464273066</v>
      </c>
      <c r="AB40" s="16">
        <f t="shared" si="39"/>
        <v>276.07321263906488</v>
      </c>
      <c r="AC40" s="16">
        <f>(I40+J40)/L40</f>
        <v>-0.11442328691725047</v>
      </c>
      <c r="AD40" s="16">
        <f t="shared" si="41"/>
        <v>0.47727512397768163</v>
      </c>
      <c r="AE40" s="26">
        <f t="shared" si="42"/>
        <v>2659.3136860022005</v>
      </c>
      <c r="AF40" s="17">
        <f t="shared" si="43"/>
        <v>5.840818081828094E-2</v>
      </c>
      <c r="AG40" s="17">
        <f t="shared" si="44"/>
        <v>0.14671227374374241</v>
      </c>
      <c r="AH40" s="17">
        <f t="shared" si="45"/>
        <v>0.14100341945291733</v>
      </c>
      <c r="AI40" s="36">
        <f t="shared" si="46"/>
        <v>5.2325778282017503E-2</v>
      </c>
      <c r="AJ40" s="36">
        <f t="shared" si="48"/>
        <v>0.2934306770996456</v>
      </c>
      <c r="AK40" s="36">
        <f t="shared" si="34"/>
        <v>1.3995350215051378E-2</v>
      </c>
      <c r="AL40">
        <f t="shared" si="47"/>
        <v>2.0952275737018344</v>
      </c>
      <c r="AM40">
        <f t="shared" si="49"/>
        <v>3.7603687194319674E-4</v>
      </c>
      <c r="AN40">
        <f t="shared" si="50"/>
        <v>17.120889334170361</v>
      </c>
      <c r="AO40">
        <f t="shared" si="51"/>
        <v>6.8160623135503151</v>
      </c>
      <c r="AP40">
        <f t="shared" si="52"/>
        <v>7.0920265897091346</v>
      </c>
      <c r="AQ40">
        <f t="shared" si="53"/>
        <v>19.111039201564331</v>
      </c>
      <c r="AR40">
        <f t="shared" si="54"/>
        <v>3.4079599648008574</v>
      </c>
      <c r="AS40">
        <f t="shared" si="55"/>
        <v>71.452302702975189</v>
      </c>
    </row>
    <row r="41" spans="1:45" s="8" customFormat="1" x14ac:dyDescent="0.25">
      <c r="A41" s="8" t="s">
        <v>243</v>
      </c>
      <c r="B41" s="8" t="s">
        <v>123</v>
      </c>
      <c r="C41" s="8">
        <v>2014</v>
      </c>
      <c r="D41" s="12">
        <f>5916675+616181</f>
        <v>6532856</v>
      </c>
      <c r="E41" s="12">
        <f>D41+(441235+475+3843+20553+397565+580984+40+19362+550241+125395)</f>
        <v>8672549</v>
      </c>
      <c r="F41" s="12">
        <f>10645437</f>
        <v>10645437</v>
      </c>
      <c r="G41" s="12">
        <f>M41-H41</f>
        <v>2981527</v>
      </c>
      <c r="H41" s="12">
        <f>5126963</f>
        <v>5126963</v>
      </c>
      <c r="I41" s="12">
        <f>388251</f>
        <v>388251</v>
      </c>
      <c r="J41" s="12">
        <f>5674361</f>
        <v>5674361</v>
      </c>
      <c r="K41" s="13">
        <f>18079350</f>
        <v>18079350</v>
      </c>
      <c r="L41" s="12">
        <f>26057697</f>
        <v>26057697</v>
      </c>
      <c r="M41" s="13">
        <f>8108490</f>
        <v>8108490</v>
      </c>
      <c r="N41" s="14">
        <f>(3422532+4178102+1966716)*1000</f>
        <v>9567350000</v>
      </c>
      <c r="O41" s="14">
        <f>22891901*1000</f>
        <v>22891901000</v>
      </c>
      <c r="P41" s="14">
        <f>21420754*1000</f>
        <v>21420754000</v>
      </c>
      <c r="Q41" s="59">
        <f t="shared" si="23"/>
        <v>5126963000</v>
      </c>
      <c r="R41" s="14">
        <f>1471147*1000</f>
        <v>1471147000</v>
      </c>
      <c r="S41" s="64">
        <v>4832482</v>
      </c>
      <c r="T41" s="39">
        <v>59391338687.150063</v>
      </c>
      <c r="U41" s="39">
        <v>9403955000</v>
      </c>
      <c r="V41" s="39">
        <f>3389520*1000</f>
        <v>3389520000</v>
      </c>
      <c r="W41" s="39">
        <v>177242275000</v>
      </c>
      <c r="X41" s="16">
        <f t="shared" si="35"/>
        <v>2.1911107965817518</v>
      </c>
      <c r="Y41" s="16">
        <f t="shared" si="36"/>
        <v>2.9087608463716745</v>
      </c>
      <c r="Z41" s="16">
        <f t="shared" si="37"/>
        <v>3.5704647316626681</v>
      </c>
      <c r="AA41" s="16">
        <f t="shared" si="38"/>
        <v>1.0686785815289228</v>
      </c>
      <c r="AB41" s="16">
        <f t="shared" si="39"/>
        <v>304.4288628493598</v>
      </c>
      <c r="AC41" s="16">
        <f t="shared" si="40"/>
        <v>0.23266108282708176</v>
      </c>
      <c r="AD41" s="16">
        <f t="shared" si="41"/>
        <v>0.19675426420070816</v>
      </c>
      <c r="AE41" s="26">
        <f t="shared" si="42"/>
        <v>1060.9378369127915</v>
      </c>
      <c r="AF41" s="17">
        <f t="shared" si="43"/>
        <v>5.3978939279582146E-2</v>
      </c>
      <c r="AG41" s="17">
        <f t="shared" si="44"/>
        <v>0.12915598719323593</v>
      </c>
      <c r="AH41" s="17">
        <f t="shared" si="45"/>
        <v>0.12085578341848749</v>
      </c>
      <c r="AI41" s="36">
        <f t="shared" si="46"/>
        <v>1.9123654331338277E-2</v>
      </c>
      <c r="AJ41" s="36">
        <f t="shared" si="48"/>
        <v>0.33508562608525572</v>
      </c>
      <c r="AK41" s="36">
        <f t="shared" si="34"/>
        <v>5.3057065533603648E-2</v>
      </c>
      <c r="AL41">
        <f t="shared" si="47"/>
        <v>5.0824819683699687</v>
      </c>
      <c r="AM41">
        <f t="shared" si="49"/>
        <v>9.4256229272573252E-4</v>
      </c>
      <c r="AN41">
        <f t="shared" si="50"/>
        <v>18.525743805756033</v>
      </c>
      <c r="AO41">
        <f t="shared" si="51"/>
        <v>7.7425756384321245</v>
      </c>
      <c r="AP41">
        <f t="shared" si="52"/>
        <v>8.2743247506600373</v>
      </c>
      <c r="AQ41">
        <f t="shared" si="53"/>
        <v>52.291261004508016</v>
      </c>
      <c r="AR41">
        <f t="shared" si="54"/>
        <v>2.9843118360008982</v>
      </c>
      <c r="AS41">
        <f t="shared" si="55"/>
        <v>18.847631129668315</v>
      </c>
    </row>
    <row r="42" spans="1:45" s="8" customFormat="1" x14ac:dyDescent="0.25">
      <c r="A42" s="8" t="s">
        <v>244</v>
      </c>
      <c r="B42" s="8" t="s">
        <v>125</v>
      </c>
      <c r="C42" s="8">
        <v>2014</v>
      </c>
      <c r="D42" s="12">
        <f>1120823+1039044</f>
        <v>2159867</v>
      </c>
      <c r="E42" s="12">
        <f>D42+830256</f>
        <v>2990123</v>
      </c>
      <c r="F42" s="12">
        <f>E42+25933+19129+5811</f>
        <v>3040996</v>
      </c>
      <c r="G42" s="12">
        <f t="shared" si="24"/>
        <v>371226</v>
      </c>
      <c r="H42" s="12">
        <f>80316+532507</f>
        <v>612823</v>
      </c>
      <c r="I42" s="12">
        <f>835050</f>
        <v>835050</v>
      </c>
      <c r="J42" s="12">
        <f>K42-(I42+3676917)</f>
        <v>1384052</v>
      </c>
      <c r="K42" s="13">
        <f>5896019</f>
        <v>5896019</v>
      </c>
      <c r="L42" s="12">
        <f>6867985</f>
        <v>6867985</v>
      </c>
      <c r="M42" s="13">
        <f>984049</f>
        <v>984049</v>
      </c>
      <c r="N42" s="14">
        <f>(858001+136395+93746+23943+311397)*1000</f>
        <v>1423482000</v>
      </c>
      <c r="O42" s="14">
        <f>3997165*1000</f>
        <v>3997165000</v>
      </c>
      <c r="P42" s="14">
        <f>3666945*1000</f>
        <v>3666945000</v>
      </c>
      <c r="Q42" s="59">
        <f t="shared" si="23"/>
        <v>612823000</v>
      </c>
      <c r="R42" s="14">
        <f>347839*1000</f>
        <v>347839000</v>
      </c>
      <c r="S42" s="64">
        <v>853175</v>
      </c>
      <c r="T42" s="39">
        <v>7700301579.496006</v>
      </c>
      <c r="U42" s="39">
        <v>0</v>
      </c>
      <c r="V42" s="39">
        <f>486358*1000</f>
        <v>486358000</v>
      </c>
      <c r="W42" s="39">
        <v>38631202000</v>
      </c>
      <c r="X42" s="16">
        <f>D42/G42</f>
        <v>5.8181996950644619</v>
      </c>
      <c r="Y42" s="16">
        <f t="shared" si="36"/>
        <v>8.0547240764386121</v>
      </c>
      <c r="Z42" s="16">
        <f t="shared" si="37"/>
        <v>8.191764585454683</v>
      </c>
      <c r="AA42" s="16">
        <f t="shared" si="38"/>
        <v>1.0900531641461761</v>
      </c>
      <c r="AB42" s="16">
        <f t="shared" si="39"/>
        <v>407.69947548861603</v>
      </c>
      <c r="AC42" s="16">
        <f t="shared" si="40"/>
        <v>0.3231081605449051</v>
      </c>
      <c r="AD42" s="16">
        <f t="shared" si="41"/>
        <v>8.9228936871586062E-2</v>
      </c>
      <c r="AE42" s="26">
        <f t="shared" si="42"/>
        <v>718.28522870454481</v>
      </c>
      <c r="AF42" s="17">
        <f t="shared" si="43"/>
        <v>3.6847986246972074E-2</v>
      </c>
      <c r="AG42" s="17">
        <f t="shared" si="44"/>
        <v>0.10346985838028028</v>
      </c>
      <c r="AH42" s="17">
        <f t="shared" si="45"/>
        <v>9.4921845817792574E-2</v>
      </c>
      <c r="AI42" s="36">
        <f t="shared" si="46"/>
        <v>1.2589771345970545E-2</v>
      </c>
      <c r="AJ42" s="36">
        <f t="shared" si="48"/>
        <v>0.19932855259062365</v>
      </c>
      <c r="AK42" s="36"/>
      <c r="AL42">
        <f t="shared" si="47"/>
        <v>11.207126690741045</v>
      </c>
      <c r="AM42">
        <f t="shared" si="49"/>
        <v>1.3922046006758883E-3</v>
      </c>
      <c r="AN42">
        <f t="shared" si="50"/>
        <v>27.1385251095553</v>
      </c>
      <c r="AO42">
        <f t="shared" si="51"/>
        <v>9.6646503209149479</v>
      </c>
      <c r="AP42">
        <f t="shared" si="52"/>
        <v>10.534982662679695</v>
      </c>
      <c r="AQ42">
        <f t="shared" si="53"/>
        <v>79.429560118266792</v>
      </c>
      <c r="AR42">
        <f t="shared" si="54"/>
        <v>5.0168427302724501</v>
      </c>
      <c r="AS42" t="e">
        <f t="shared" si="55"/>
        <v>#DIV/0!</v>
      </c>
    </row>
    <row r="43" spans="1:45" s="8" customFormat="1" x14ac:dyDescent="0.25">
      <c r="A43" s="8" t="s">
        <v>245</v>
      </c>
      <c r="B43" s="8" t="s">
        <v>127</v>
      </c>
      <c r="C43" s="8">
        <v>2014</v>
      </c>
      <c r="D43" s="12">
        <f>5025508+862554+657768</f>
        <v>6545830</v>
      </c>
      <c r="E43" s="12">
        <f>D43+2140948</f>
        <v>8686778</v>
      </c>
      <c r="F43" s="12">
        <f>9358687</f>
        <v>9358687</v>
      </c>
      <c r="G43" s="12">
        <f t="shared" si="24"/>
        <v>1913746</v>
      </c>
      <c r="H43" s="12">
        <f>3545278</f>
        <v>3545278</v>
      </c>
      <c r="I43" s="12">
        <f>3564193</f>
        <v>3564193</v>
      </c>
      <c r="J43" s="12">
        <f>1242324</f>
        <v>1242324</v>
      </c>
      <c r="K43" s="13">
        <f>31662040</f>
        <v>31662040</v>
      </c>
      <c r="L43" s="12">
        <f>37057291</f>
        <v>37057291</v>
      </c>
      <c r="M43" s="13">
        <f>5459024</f>
        <v>5459024</v>
      </c>
      <c r="N43" s="14">
        <f>(7276443+5432661)*1000</f>
        <v>12709104000</v>
      </c>
      <c r="O43" s="15">
        <f>28292650*1000</f>
        <v>28292650000</v>
      </c>
      <c r="P43" s="14">
        <f>27759435*1000</f>
        <v>27759435000</v>
      </c>
      <c r="Q43" s="59">
        <f t="shared" si="23"/>
        <v>3545278000</v>
      </c>
      <c r="R43" s="14">
        <f>533762*1000</f>
        <v>533762000</v>
      </c>
      <c r="S43" s="64">
        <v>6549352</v>
      </c>
      <c r="T43" s="39">
        <v>37957079120.95459</v>
      </c>
      <c r="U43" s="39">
        <v>1225111561</v>
      </c>
      <c r="V43" s="39">
        <f>2342622*1000</f>
        <v>2342622000</v>
      </c>
      <c r="W43" s="39">
        <v>264965180000</v>
      </c>
      <c r="X43" s="16">
        <f t="shared" si="35"/>
        <v>3.4204277892677504</v>
      </c>
      <c r="Y43" s="16">
        <f t="shared" si="36"/>
        <v>4.5391488734659671</v>
      </c>
      <c r="Z43" s="16">
        <f t="shared" si="37"/>
        <v>4.8902451004469771</v>
      </c>
      <c r="AA43" s="16">
        <f t="shared" si="38"/>
        <v>1.0192084240907642</v>
      </c>
      <c r="AB43" s="16">
        <f t="shared" si="39"/>
        <v>81.498444426257748</v>
      </c>
      <c r="AC43" s="16">
        <f t="shared" si="40"/>
        <v>0.12970502889701246</v>
      </c>
      <c r="AD43" s="16">
        <f t="shared" si="41"/>
        <v>9.5670188087952787E-2</v>
      </c>
      <c r="AE43" s="26">
        <f t="shared" si="42"/>
        <v>541.31737002378247</v>
      </c>
      <c r="AF43" s="17">
        <f t="shared" si="43"/>
        <v>4.7965185463237095E-2</v>
      </c>
      <c r="AG43" s="17">
        <f t="shared" si="44"/>
        <v>0.10677874730558937</v>
      </c>
      <c r="AH43" s="17">
        <f t="shared" si="45"/>
        <v>0.10476635080881193</v>
      </c>
      <c r="AI43" s="36">
        <f t="shared" si="46"/>
        <v>8.8412447250616095E-3</v>
      </c>
      <c r="AJ43" s="36">
        <f t="shared" si="48"/>
        <v>0.14325308374841778</v>
      </c>
      <c r="AK43" s="36">
        <f t="shared" ref="AK43:AK52" si="56">U43/$W43</f>
        <v>4.6236700271333761E-3</v>
      </c>
      <c r="AL43">
        <f t="shared" si="47"/>
        <v>10.452576920625125</v>
      </c>
      <c r="AM43">
        <f t="shared" si="49"/>
        <v>1.8473451165183662E-3</v>
      </c>
      <c r="AN43">
        <f t="shared" si="50"/>
        <v>20.848454776985065</v>
      </c>
      <c r="AO43">
        <f t="shared" si="51"/>
        <v>9.3651595025563168</v>
      </c>
      <c r="AP43">
        <f t="shared" si="52"/>
        <v>9.5450494579590686</v>
      </c>
      <c r="AQ43">
        <f t="shared" si="53"/>
        <v>113.10624590736363</v>
      </c>
      <c r="AR43">
        <f t="shared" si="54"/>
        <v>6.9806525195381353</v>
      </c>
      <c r="AS43">
        <f t="shared" si="55"/>
        <v>216.27840960354794</v>
      </c>
    </row>
    <row r="44" spans="1:45" s="8" customFormat="1" x14ac:dyDescent="0.25">
      <c r="A44" s="8" t="s">
        <v>246</v>
      </c>
      <c r="B44" s="8" t="s">
        <v>129</v>
      </c>
      <c r="C44" s="8">
        <v>2014</v>
      </c>
      <c r="D44" s="12">
        <f>29686786+1668492</f>
        <v>31355278</v>
      </c>
      <c r="E44" s="12">
        <f>D44+(3602621+3210282+740330+2878975+242365+282747+265384+533942+174260)</f>
        <v>43286184</v>
      </c>
      <c r="F44" s="12">
        <f>52208176</f>
        <v>52208176</v>
      </c>
      <c r="G44" s="12">
        <f>(24254247)</f>
        <v>24254247</v>
      </c>
      <c r="H44" s="12">
        <f>55843403</f>
        <v>55843403</v>
      </c>
      <c r="I44" s="12">
        <f>14107712</f>
        <v>14107712</v>
      </c>
      <c r="J44" s="12">
        <f>K44-(I44+79794843)</f>
        <v>81680019</v>
      </c>
      <c r="K44" s="12">
        <f>175582574</f>
        <v>175582574</v>
      </c>
      <c r="L44" s="12">
        <f>260269797</f>
        <v>260269797</v>
      </c>
      <c r="M44" s="12">
        <f>80097650</f>
        <v>80097650</v>
      </c>
      <c r="N44" s="14">
        <f>50916366*1000</f>
        <v>50916366000</v>
      </c>
      <c r="O44" s="15">
        <f>144117707*1000</f>
        <v>144117707000</v>
      </c>
      <c r="P44" s="14">
        <f>127078442*1000</f>
        <v>127078442000</v>
      </c>
      <c r="Q44" s="59">
        <f t="shared" si="23"/>
        <v>55843403000</v>
      </c>
      <c r="R44" s="14">
        <f>17125600*1000</f>
        <v>17125600000</v>
      </c>
      <c r="S44" s="64">
        <v>26956958</v>
      </c>
      <c r="T44" s="39">
        <v>229716240374.28455</v>
      </c>
      <c r="U44" s="39">
        <v>66950556671</v>
      </c>
      <c r="V44" s="39">
        <f>44369*1000000</f>
        <v>44369000000</v>
      </c>
      <c r="W44" s="39">
        <v>1231084591000</v>
      </c>
      <c r="X44" s="16">
        <f>D44/G44</f>
        <v>1.292774745800189</v>
      </c>
      <c r="Y44" s="16">
        <f t="shared" si="36"/>
        <v>1.784684719340081</v>
      </c>
      <c r="Z44" s="16">
        <f t="shared" si="37"/>
        <v>2.152537491681354</v>
      </c>
      <c r="AA44" s="16">
        <f t="shared" si="38"/>
        <v>1.1340846231023198</v>
      </c>
      <c r="AB44" s="16">
        <f t="shared" si="39"/>
        <v>635.29423460911278</v>
      </c>
      <c r="AC44" s="16">
        <f t="shared" si="40"/>
        <v>0.3680324498043851</v>
      </c>
      <c r="AD44" s="16">
        <f t="shared" si="41"/>
        <v>0.21455967478239513</v>
      </c>
      <c r="AE44" s="26">
        <f t="shared" si="42"/>
        <v>2071.5765851621686</v>
      </c>
      <c r="AF44" s="17">
        <f t="shared" si="43"/>
        <v>4.1358949963496053E-2</v>
      </c>
      <c r="AG44" s="17">
        <f t="shared" si="44"/>
        <v>0.11706564118630902</v>
      </c>
      <c r="AH44" s="17">
        <f t="shared" si="45"/>
        <v>0.10322478481903118</v>
      </c>
      <c r="AI44" s="36">
        <f t="shared" si="46"/>
        <v>3.60405778159886E-2</v>
      </c>
      <c r="AJ44" s="36">
        <f t="shared" si="48"/>
        <v>0.1865966336136885</v>
      </c>
      <c r="AK44" s="36">
        <f t="shared" si="56"/>
        <v>5.4383392628297465E-2</v>
      </c>
      <c r="AL44">
        <f t="shared" si="47"/>
        <v>4.6607080338567473</v>
      </c>
      <c r="AM44">
        <f t="shared" si="49"/>
        <v>4.8272412768254826E-4</v>
      </c>
      <c r="AN44">
        <f t="shared" si="50"/>
        <v>24.178563548702591</v>
      </c>
      <c r="AO44">
        <f t="shared" si="51"/>
        <v>8.5422160581558515</v>
      </c>
      <c r="AP44">
        <f t="shared" si="52"/>
        <v>9.687595878772262</v>
      </c>
      <c r="AQ44">
        <f t="shared" si="53"/>
        <v>27.746502986319278</v>
      </c>
      <c r="AR44">
        <f t="shared" si="54"/>
        <v>5.3591534886438659</v>
      </c>
      <c r="AS44">
        <f t="shared" si="55"/>
        <v>18.387966466800879</v>
      </c>
    </row>
    <row r="45" spans="1:45" s="8" customFormat="1" x14ac:dyDescent="0.25">
      <c r="A45" s="8" t="s">
        <v>247</v>
      </c>
      <c r="B45" s="8" t="s">
        <v>131</v>
      </c>
      <c r="C45" s="8">
        <v>2014</v>
      </c>
      <c r="D45" s="12">
        <f>2839095+1235296</f>
        <v>4074391</v>
      </c>
      <c r="E45" s="12">
        <f>D45+972698+795124</f>
        <v>5842213</v>
      </c>
      <c r="F45" s="12">
        <f>E45+38072+85320+54253+80508</f>
        <v>6100366</v>
      </c>
      <c r="G45" s="12">
        <f>M45-H45</f>
        <v>976574</v>
      </c>
      <c r="H45" s="12">
        <f>5163295</f>
        <v>5163295</v>
      </c>
      <c r="I45" s="12">
        <f>2728160</f>
        <v>2728160</v>
      </c>
      <c r="J45" s="12">
        <f>5334551</f>
        <v>5334551</v>
      </c>
      <c r="K45" s="13">
        <f>22102381</f>
        <v>22102381</v>
      </c>
      <c r="L45" s="12">
        <f>28271919</f>
        <v>28271919</v>
      </c>
      <c r="M45" s="13">
        <f>6139869</f>
        <v>6139869</v>
      </c>
      <c r="N45" s="14">
        <f>6180960*1000</f>
        <v>6180960000</v>
      </c>
      <c r="O45" s="14">
        <f>12326610*1000</f>
        <v>12326610000</v>
      </c>
      <c r="P45" s="14">
        <f>10856400*1000</f>
        <v>10856400000</v>
      </c>
      <c r="Q45" s="59">
        <f t="shared" si="23"/>
        <v>5163295000</v>
      </c>
      <c r="R45" s="14">
        <f>1470210*1000</f>
        <v>1470210000</v>
      </c>
      <c r="S45" s="64">
        <v>2942902</v>
      </c>
      <c r="T45" s="39">
        <v>29834351101.435322</v>
      </c>
      <c r="U45" s="39">
        <v>267715000</v>
      </c>
      <c r="V45" s="39">
        <f>4903*1000000</f>
        <v>4903000000</v>
      </c>
      <c r="W45" s="39">
        <v>110841885000</v>
      </c>
      <c r="X45" s="16">
        <f t="shared" si="35"/>
        <v>4.1721272530294682</v>
      </c>
      <c r="Y45" s="16">
        <f t="shared" si="36"/>
        <v>5.9823556637797033</v>
      </c>
      <c r="Z45" s="16">
        <f t="shared" si="37"/>
        <v>6.2467012228463998</v>
      </c>
      <c r="AA45" s="16">
        <f t="shared" si="38"/>
        <v>1.1354233447551674</v>
      </c>
      <c r="AB45" s="16">
        <f t="shared" si="39"/>
        <v>499.57830739861538</v>
      </c>
      <c r="AC45" s="16">
        <f t="shared" si="40"/>
        <v>0.28518442628531865</v>
      </c>
      <c r="AD45" s="16">
        <f t="shared" si="41"/>
        <v>0.18262980309189483</v>
      </c>
      <c r="AE45" s="26">
        <f t="shared" si="42"/>
        <v>1754.4909752346493</v>
      </c>
      <c r="AF45" s="17">
        <f t="shared" si="43"/>
        <v>5.5763757536241826E-2</v>
      </c>
      <c r="AG45" s="17">
        <f t="shared" si="44"/>
        <v>0.11120895318588275</v>
      </c>
      <c r="AH45" s="17">
        <f t="shared" si="45"/>
        <v>9.7944923978873152E-2</v>
      </c>
      <c r="AI45" s="36">
        <f t="shared" si="46"/>
        <v>4.4234180968683451E-2</v>
      </c>
      <c r="AJ45" s="36">
        <f t="shared" si="48"/>
        <v>0.26916134727801971</v>
      </c>
      <c r="AK45" s="36">
        <f t="shared" si="56"/>
        <v>2.4152873257252887E-3</v>
      </c>
      <c r="AL45">
        <f t="shared" si="47"/>
        <v>5.4755575654693365</v>
      </c>
      <c r="AM45">
        <f t="shared" si="49"/>
        <v>5.6996588418829449E-4</v>
      </c>
      <c r="AN45">
        <f t="shared" si="50"/>
        <v>17.932794420284228</v>
      </c>
      <c r="AO45">
        <f t="shared" si="51"/>
        <v>8.9920817645727418</v>
      </c>
      <c r="AP45">
        <f t="shared" si="52"/>
        <v>10.209819553443129</v>
      </c>
      <c r="AQ45">
        <f t="shared" si="53"/>
        <v>22.606951866204366</v>
      </c>
      <c r="AR45">
        <f t="shared" si="54"/>
        <v>3.7152437008984394</v>
      </c>
      <c r="AS45">
        <f t="shared" si="55"/>
        <v>414.02941560988364</v>
      </c>
    </row>
    <row r="46" spans="1:45" s="8" customFormat="1" x14ac:dyDescent="0.25">
      <c r="A46" s="8" t="s">
        <v>257</v>
      </c>
      <c r="B46" s="8" t="s">
        <v>133</v>
      </c>
      <c r="C46" s="8">
        <v>2014</v>
      </c>
      <c r="D46" s="13">
        <f>(633731220+64877564)/1000</f>
        <v>698608.78399999999</v>
      </c>
      <c r="E46" s="12">
        <f>D46+((152282909+41894316+243562742+55721601)/1000)</f>
        <v>1192070.352</v>
      </c>
      <c r="F46" s="12">
        <f>1215822818/1000</f>
        <v>1215822.818</v>
      </c>
      <c r="G46" s="12">
        <f>544975097/1000</f>
        <v>544975.09699999995</v>
      </c>
      <c r="H46" s="13">
        <f>1463031</f>
        <v>1463031</v>
      </c>
      <c r="I46" s="13">
        <f>-849458239/1000</f>
        <v>-849458.23899999994</v>
      </c>
      <c r="J46" s="13">
        <f>K46-(I46+(2011709217/1000))</f>
        <v>728700.77599999984</v>
      </c>
      <c r="K46" s="13">
        <f>1890951754/1000</f>
        <v>1890951.754</v>
      </c>
      <c r="L46" s="13">
        <f>3892047608/1000</f>
        <v>3892047.608</v>
      </c>
      <c r="M46" s="12">
        <f>2008005726/1000</f>
        <v>2008005.726</v>
      </c>
      <c r="N46" s="15">
        <f>2842667896</f>
        <v>2842667896</v>
      </c>
      <c r="O46" s="15">
        <f>5574*1000000</f>
        <v>5574000000</v>
      </c>
      <c r="P46" s="15">
        <f>5405.6*1000000</f>
        <v>5405600000</v>
      </c>
      <c r="Q46" s="66">
        <f>H46*1000</f>
        <v>1463031000</v>
      </c>
      <c r="R46" s="15">
        <f>168.4*1000000</f>
        <v>168400000</v>
      </c>
      <c r="S46" s="64">
        <v>626562</v>
      </c>
      <c r="T46" s="39">
        <v>4481123358.4586773</v>
      </c>
      <c r="U46" s="39">
        <v>1840599000</v>
      </c>
      <c r="V46" s="39">
        <f>595345*1000</f>
        <v>595345000</v>
      </c>
      <c r="W46" s="39">
        <v>29090044000</v>
      </c>
      <c r="X46" s="16">
        <f t="shared" si="35"/>
        <v>1.2819095548507238</v>
      </c>
      <c r="Y46" s="16">
        <f t="shared" si="36"/>
        <v>2.1873849989883118</v>
      </c>
      <c r="Z46" s="16">
        <f t="shared" si="37"/>
        <v>2.2309694969419862</v>
      </c>
      <c r="AA46" s="16">
        <f t="shared" si="38"/>
        <v>1.0311528784963742</v>
      </c>
      <c r="AB46" s="16">
        <f t="shared" si="39"/>
        <v>268.76829427893807</v>
      </c>
      <c r="AC46" s="16">
        <f t="shared" si="40"/>
        <v>-3.1026717852008379E-2</v>
      </c>
      <c r="AD46" s="16">
        <f t="shared" si="41"/>
        <v>0.37590264748888963</v>
      </c>
      <c r="AE46" s="26">
        <f t="shared" si="42"/>
        <v>2335.0139331782011</v>
      </c>
      <c r="AF46" s="17">
        <f t="shared" si="43"/>
        <v>9.7719614862046958E-2</v>
      </c>
      <c r="AG46" s="17">
        <f t="shared" si="44"/>
        <v>0.19161194806030543</v>
      </c>
      <c r="AH46" s="17">
        <f t="shared" si="45"/>
        <v>0.18582302591223307</v>
      </c>
      <c r="AI46" s="36">
        <f t="shared" si="46"/>
        <v>2.0465592970570962E-2</v>
      </c>
      <c r="AJ46" s="36">
        <f t="shared" si="48"/>
        <v>0.15404319630656721</v>
      </c>
      <c r="AK46" s="36">
        <f t="shared" si="56"/>
        <v>6.327247219014176E-2</v>
      </c>
      <c r="AL46">
        <f t="shared" si="47"/>
        <v>2.6602632534785657</v>
      </c>
      <c r="AM46">
        <f t="shared" si="49"/>
        <v>4.2826296913735934E-4</v>
      </c>
      <c r="AN46">
        <f t="shared" si="50"/>
        <v>10.233360021032862</v>
      </c>
      <c r="AO46">
        <f t="shared" si="51"/>
        <v>5.2188812343021169</v>
      </c>
      <c r="AP46">
        <f t="shared" si="52"/>
        <v>5.3814644072813378</v>
      </c>
      <c r="AQ46">
        <f t="shared" si="53"/>
        <v>48.862498215320528</v>
      </c>
      <c r="AR46">
        <f t="shared" si="54"/>
        <v>6.4916856049251406</v>
      </c>
      <c r="AS46">
        <f t="shared" si="55"/>
        <v>15.80466141728861</v>
      </c>
    </row>
    <row r="47" spans="1:45" s="8" customFormat="1" x14ac:dyDescent="0.25">
      <c r="A47" s="8" t="s">
        <v>248</v>
      </c>
      <c r="B47" s="8" t="s">
        <v>135</v>
      </c>
      <c r="C47" s="8">
        <v>2014</v>
      </c>
      <c r="D47" s="12">
        <f>4429094+3991876</f>
        <v>8420970</v>
      </c>
      <c r="E47" s="12">
        <f>D47+3606294</f>
        <v>12027264</v>
      </c>
      <c r="F47" s="12">
        <f>E47+19270+641+187789+113269+5208+10705</f>
        <v>12364146</v>
      </c>
      <c r="G47" s="12">
        <f>M47-(877486+11411936)</f>
        <v>5154273</v>
      </c>
      <c r="H47" s="12">
        <f>12289422</f>
        <v>12289422</v>
      </c>
      <c r="I47" s="12">
        <f>-2257056</f>
        <v>-2257056</v>
      </c>
      <c r="J47" s="12">
        <f>K47-(I47+22329070)</f>
        <v>2051964</v>
      </c>
      <c r="K47" s="13">
        <f>22123978</f>
        <v>22123978</v>
      </c>
      <c r="L47" s="12">
        <f>41076118</f>
        <v>41076118</v>
      </c>
      <c r="M47" s="13">
        <f>17443695</f>
        <v>17443695</v>
      </c>
      <c r="N47" s="14">
        <f>(11681808+4597105+769832+791944+780817+420371+394834+459933+132044+182110+149+119074+43050+25620+22581+104557)*1000</f>
        <v>20525829000</v>
      </c>
      <c r="O47" s="14">
        <f>37857631*1000</f>
        <v>37857631000</v>
      </c>
      <c r="P47" s="14">
        <f>36602565*1000</f>
        <v>36602565000</v>
      </c>
      <c r="Q47" s="59">
        <f t="shared" si="23"/>
        <v>12289422000</v>
      </c>
      <c r="R47" s="14">
        <f>1255066*1000</f>
        <v>1255066000</v>
      </c>
      <c r="S47" s="64">
        <v>8326289</v>
      </c>
      <c r="T47" s="39">
        <v>87656617343.350235</v>
      </c>
      <c r="U47" s="39">
        <v>5194000000</v>
      </c>
      <c r="V47" s="39">
        <f>6855183*1000</f>
        <v>6855183000</v>
      </c>
      <c r="W47" s="39">
        <v>419184911000</v>
      </c>
      <c r="X47" s="16">
        <f t="shared" si="35"/>
        <v>1.6337842407648955</v>
      </c>
      <c r="Y47" s="16">
        <f t="shared" si="36"/>
        <v>2.3334549799748676</v>
      </c>
      <c r="Z47" s="16">
        <f t="shared" si="37"/>
        <v>2.398814731000861</v>
      </c>
      <c r="AA47" s="16">
        <f t="shared" si="38"/>
        <v>1.0342890177232116</v>
      </c>
      <c r="AB47" s="16">
        <f t="shared" si="39"/>
        <v>150.73533959726836</v>
      </c>
      <c r="AC47" s="16">
        <f t="shared" si="40"/>
        <v>-4.9929742630498821E-3</v>
      </c>
      <c r="AD47" s="16">
        <f t="shared" si="41"/>
        <v>0.29918654922551347</v>
      </c>
      <c r="AE47" s="26">
        <f t="shared" si="42"/>
        <v>1475.9783139883807</v>
      </c>
      <c r="AF47" s="17">
        <f t="shared" si="43"/>
        <v>4.8966049257436174E-2</v>
      </c>
      <c r="AG47" s="17">
        <f t="shared" si="44"/>
        <v>9.0312485031218123E-2</v>
      </c>
      <c r="AH47" s="17">
        <f t="shared" si="45"/>
        <v>8.7318422107994245E-2</v>
      </c>
      <c r="AI47" s="36">
        <f t="shared" si="46"/>
        <v>1.6353601525509107E-2</v>
      </c>
      <c r="AJ47" s="36">
        <f t="shared" si="48"/>
        <v>0.20911205304179051</v>
      </c>
      <c r="AK47" s="36">
        <f t="shared" si="56"/>
        <v>1.2390713176219266E-2</v>
      </c>
      <c r="AL47">
        <f t="shared" si="47"/>
        <v>3.3423962493923636</v>
      </c>
      <c r="AM47">
        <f t="shared" si="49"/>
        <v>6.7751672942795843E-4</v>
      </c>
      <c r="AN47">
        <f t="shared" si="50"/>
        <v>20.422313320451028</v>
      </c>
      <c r="AO47">
        <f t="shared" si="51"/>
        <v>11.072666195092873</v>
      </c>
      <c r="AP47">
        <f t="shared" si="52"/>
        <v>11.452337042499618</v>
      </c>
      <c r="AQ47">
        <f t="shared" si="53"/>
        <v>61.14860989123121</v>
      </c>
      <c r="AR47">
        <f t="shared" si="54"/>
        <v>4.7821251116507977</v>
      </c>
      <c r="AS47">
        <f t="shared" si="55"/>
        <v>80.705604736234108</v>
      </c>
    </row>
    <row r="48" spans="1:45" s="8" customFormat="1" x14ac:dyDescent="0.25">
      <c r="A48" s="8" t="s">
        <v>249</v>
      </c>
      <c r="B48" s="8" t="s">
        <v>137</v>
      </c>
      <c r="C48" s="8">
        <v>2014</v>
      </c>
      <c r="D48" s="12">
        <f>10835398</f>
        <v>10835398</v>
      </c>
      <c r="E48" s="12">
        <f>D48+3299766+3868972</f>
        <v>18004136</v>
      </c>
      <c r="F48" s="12">
        <f>E48+4228282+146384+364686</f>
        <v>22743488</v>
      </c>
      <c r="G48" s="12">
        <f t="shared" si="24"/>
        <v>6233000</v>
      </c>
      <c r="H48" s="12">
        <f>55941*1000</f>
        <v>55941000</v>
      </c>
      <c r="I48" s="12">
        <f>-7918815</f>
        <v>-7918815</v>
      </c>
      <c r="J48" s="12">
        <f>K48-(I48+20441413)</f>
        <v>10403788</v>
      </c>
      <c r="K48" s="13">
        <v>22926386</v>
      </c>
      <c r="L48" s="12">
        <f>85086984</f>
        <v>85086984</v>
      </c>
      <c r="M48" s="13">
        <f>62174*1000</f>
        <v>62174000</v>
      </c>
      <c r="N48" s="14">
        <f>17871*1000000</f>
        <v>17871000000</v>
      </c>
      <c r="O48" s="14">
        <f>47008*1000000</f>
        <v>47008000000</v>
      </c>
      <c r="P48" s="14">
        <f>45251918*1000</f>
        <v>45251918000</v>
      </c>
      <c r="Q48" s="59">
        <f t="shared" si="23"/>
        <v>55941000000</v>
      </c>
      <c r="R48" s="14">
        <f>1822*1000000</f>
        <v>1822000000</v>
      </c>
      <c r="S48" s="64">
        <v>7061530</v>
      </c>
      <c r="T48" s="39">
        <v>81535411219.355759</v>
      </c>
      <c r="U48" s="39">
        <v>3707000000</v>
      </c>
      <c r="V48" s="39">
        <f>24142*1000000</f>
        <v>24142000000</v>
      </c>
      <c r="W48" s="39">
        <v>350321729000</v>
      </c>
      <c r="X48" s="16">
        <f t="shared" si="35"/>
        <v>1.7383921065297609</v>
      </c>
      <c r="Y48" s="16">
        <f t="shared" si="36"/>
        <v>2.8885185304026955</v>
      </c>
      <c r="Z48" s="16">
        <f t="shared" si="37"/>
        <v>3.6488830418738969</v>
      </c>
      <c r="AA48" s="16">
        <f t="shared" si="38"/>
        <v>1.0388067970953188</v>
      </c>
      <c r="AB48" s="16">
        <f t="shared" si="39"/>
        <v>258.0177383654817</v>
      </c>
      <c r="AC48" s="16">
        <f t="shared" si="40"/>
        <v>2.9205089699735978E-2</v>
      </c>
      <c r="AD48" s="16">
        <f t="shared" si="41"/>
        <v>0.6574566093446208</v>
      </c>
      <c r="AE48" s="26">
        <f t="shared" si="42"/>
        <v>7921.9375970929814</v>
      </c>
      <c r="AF48" s="17">
        <f t="shared" si="43"/>
        <v>5.1013107439875645E-2</v>
      </c>
      <c r="AG48" s="17">
        <f t="shared" si="44"/>
        <v>0.13418522491934834</v>
      </c>
      <c r="AH48" s="17">
        <f t="shared" si="45"/>
        <v>0.12917245564290988</v>
      </c>
      <c r="AI48" s="36">
        <f t="shared" si="46"/>
        <v>6.8913795524227953E-2</v>
      </c>
      <c r="AJ48" s="36">
        <f t="shared" si="48"/>
        <v>0.23274437315692673</v>
      </c>
      <c r="AK48" s="36">
        <f t="shared" si="56"/>
        <v>1.0581701599217673E-2</v>
      </c>
      <c r="AL48">
        <f t="shared" si="47"/>
        <v>1.5210129243309916</v>
      </c>
      <c r="AM48">
        <f t="shared" si="49"/>
        <v>1.2623174415902469E-4</v>
      </c>
      <c r="AN48">
        <f t="shared" si="50"/>
        <v>19.602805047283308</v>
      </c>
      <c r="AO48">
        <f t="shared" si="51"/>
        <v>7.4523853173927845</v>
      </c>
      <c r="AP48">
        <f t="shared" si="52"/>
        <v>7.7415885222809786</v>
      </c>
      <c r="AQ48">
        <f t="shared" si="53"/>
        <v>14.510882652638557</v>
      </c>
      <c r="AR48">
        <f t="shared" si="54"/>
        <v>4.2965592956602006</v>
      </c>
      <c r="AS48">
        <f t="shared" si="55"/>
        <v>94.502759374156994</v>
      </c>
    </row>
    <row r="49" spans="1:45" s="8" customFormat="1" x14ac:dyDescent="0.25">
      <c r="A49" s="8" t="s">
        <v>250</v>
      </c>
      <c r="B49" s="8" t="s">
        <v>139</v>
      </c>
      <c r="C49" s="8">
        <v>2014</v>
      </c>
      <c r="D49" s="67">
        <f>3738416+1100079</f>
        <v>4838495</v>
      </c>
      <c r="E49" s="12">
        <f>D49+939610</f>
        <v>5778105</v>
      </c>
      <c r="F49" s="12">
        <f>6507978</f>
        <v>6507978</v>
      </c>
      <c r="G49" s="12">
        <f>(3226088)</f>
        <v>3226088</v>
      </c>
      <c r="H49" s="12">
        <f>4344665</f>
        <v>4344665</v>
      </c>
      <c r="I49" s="12">
        <f>23549</f>
        <v>23549</v>
      </c>
      <c r="J49" s="12">
        <f>K49-(I49+8794418)</f>
        <v>2180594</v>
      </c>
      <c r="K49" s="12">
        <f>10998561</f>
        <v>10998561</v>
      </c>
      <c r="L49" s="12">
        <f>18568746</f>
        <v>18568746</v>
      </c>
      <c r="M49" s="12">
        <f>7570753</f>
        <v>7570753</v>
      </c>
      <c r="N49" s="14">
        <f>(1771473+1216812+937751+628989+493000)*1000</f>
        <v>5048025000</v>
      </c>
      <c r="O49" s="14">
        <f>12078950*1000</f>
        <v>12078950000</v>
      </c>
      <c r="P49" s="14">
        <f>11836832*1000</f>
        <v>11836832000</v>
      </c>
      <c r="Q49" s="59">
        <f t="shared" si="23"/>
        <v>4344665000</v>
      </c>
      <c r="R49" s="14">
        <f>242118*1000</f>
        <v>242118000</v>
      </c>
      <c r="S49" s="64">
        <v>1850326</v>
      </c>
      <c r="T49" s="39">
        <v>19823567138.035667</v>
      </c>
      <c r="U49" s="39">
        <v>2734641574</v>
      </c>
      <c r="V49" s="39">
        <f>2070945*1000</f>
        <v>2070945000</v>
      </c>
      <c r="W49" s="39">
        <v>66856850000</v>
      </c>
      <c r="X49" s="16">
        <f>D49/G49</f>
        <v>1.4998025472336773</v>
      </c>
      <c r="Y49" s="16">
        <f t="shared" si="36"/>
        <v>1.7910562266125412</v>
      </c>
      <c r="Z49" s="16">
        <f t="shared" si="37"/>
        <v>2.0172971103082125</v>
      </c>
      <c r="AA49" s="16">
        <f t="shared" si="38"/>
        <v>1.020454628400572</v>
      </c>
      <c r="AB49" s="16">
        <f t="shared" si="39"/>
        <v>130.85153643195846</v>
      </c>
      <c r="AC49" s="16">
        <f t="shared" si="40"/>
        <v>0.11870176909092299</v>
      </c>
      <c r="AD49" s="16">
        <f t="shared" si="41"/>
        <v>0.2339772971206564</v>
      </c>
      <c r="AE49" s="26">
        <f t="shared" si="42"/>
        <v>2348.0538024110347</v>
      </c>
      <c r="AF49" s="17">
        <f t="shared" si="43"/>
        <v>7.5504978173515508E-2</v>
      </c>
      <c r="AG49" s="17">
        <f t="shared" si="44"/>
        <v>0.1806688469468723</v>
      </c>
      <c r="AH49" s="17">
        <f t="shared" si="45"/>
        <v>0.17704740800680857</v>
      </c>
      <c r="AI49" s="36">
        <f t="shared" si="46"/>
        <v>3.0975808761555472E-2</v>
      </c>
      <c r="AJ49" s="36">
        <f t="shared" si="48"/>
        <v>0.29650764488658482</v>
      </c>
      <c r="AK49" s="36">
        <f t="shared" si="56"/>
        <v>4.0902937754321363E-2</v>
      </c>
      <c r="AL49">
        <f t="shared" si="47"/>
        <v>4.2739189327600631</v>
      </c>
      <c r="AM49">
        <f t="shared" si="49"/>
        <v>4.258846194125439E-4</v>
      </c>
      <c r="AN49">
        <f t="shared" si="50"/>
        <v>13.244159844691735</v>
      </c>
      <c r="AO49">
        <f t="shared" si="51"/>
        <v>5.5349885544687245</v>
      </c>
      <c r="AP49">
        <f t="shared" si="52"/>
        <v>5.648204688551802</v>
      </c>
      <c r="AQ49">
        <f t="shared" si="53"/>
        <v>32.283257160378476</v>
      </c>
      <c r="AR49">
        <f t="shared" si="54"/>
        <v>3.3725943234364273</v>
      </c>
      <c r="AS49">
        <f t="shared" si="55"/>
        <v>24.448121697428707</v>
      </c>
    </row>
    <row r="50" spans="1:45" s="8" customFormat="1" x14ac:dyDescent="0.25">
      <c r="A50" s="8" t="s">
        <v>251</v>
      </c>
      <c r="B50" s="8" t="s">
        <v>141</v>
      </c>
      <c r="C50" s="8">
        <v>2014</v>
      </c>
      <c r="D50" s="12">
        <f>3979841+2490890</f>
        <v>6470731</v>
      </c>
      <c r="E50" s="12">
        <f>D50+6484458</f>
        <v>12955189</v>
      </c>
      <c r="F50" s="12">
        <f>E50+94372+281301+549+34185</f>
        <v>13365596</v>
      </c>
      <c r="G50" s="12">
        <f t="shared" si="24"/>
        <v>6851494</v>
      </c>
      <c r="H50" s="12">
        <f>1252592+14297053</f>
        <v>15549645</v>
      </c>
      <c r="I50" s="12">
        <f>-8066366</f>
        <v>-8066366</v>
      </c>
      <c r="J50" s="12">
        <f>K50-(I50+21725539)</f>
        <v>5743602</v>
      </c>
      <c r="K50" s="13">
        <f>19402775</f>
        <v>19402775</v>
      </c>
      <c r="L50" s="12">
        <f>41489720</f>
        <v>41489720</v>
      </c>
      <c r="M50" s="13">
        <v>22401139</v>
      </c>
      <c r="N50" s="14">
        <f>(8369.7+5322.6+3517+1053.5+4711)*1000000</f>
        <v>22973800000.000004</v>
      </c>
      <c r="O50" s="15">
        <f>35560.9*1000000</f>
        <v>35560900000</v>
      </c>
      <c r="P50" s="14">
        <f>33426.6*1000000</f>
        <v>33426600000</v>
      </c>
      <c r="Q50" s="59">
        <f t="shared" ref="Q50:Q51" si="57">H50*1000</f>
        <v>15549645000</v>
      </c>
      <c r="R50" s="14">
        <f>2154.6*1000000</f>
        <v>2154600000</v>
      </c>
      <c r="S50" s="64">
        <v>5757564</v>
      </c>
      <c r="T50" s="39">
        <v>34879005217.11644</v>
      </c>
      <c r="U50" s="39">
        <v>892844000</v>
      </c>
      <c r="V50" s="39">
        <f>13649780*1000</f>
        <v>13649780000</v>
      </c>
      <c r="W50" s="39">
        <v>254404802000</v>
      </c>
      <c r="X50" s="16">
        <f t="shared" si="35"/>
        <v>0.94442628133367701</v>
      </c>
      <c r="Y50" s="16">
        <f t="shared" si="36"/>
        <v>1.8908560673044448</v>
      </c>
      <c r="Z50" s="16">
        <f t="shared" si="37"/>
        <v>1.95075643356033</v>
      </c>
      <c r="AA50" s="16">
        <f t="shared" si="38"/>
        <v>1.0638503467298499</v>
      </c>
      <c r="AB50" s="16">
        <f t="shared" si="39"/>
        <v>374.22076419819217</v>
      </c>
      <c r="AC50" s="16">
        <f t="shared" si="40"/>
        <v>-5.5984084732314414E-2</v>
      </c>
      <c r="AD50" s="16">
        <f t="shared" si="41"/>
        <v>0.37478307879638617</v>
      </c>
      <c r="AE50" s="26">
        <f t="shared" si="42"/>
        <v>2700.733330971223</v>
      </c>
      <c r="AF50" s="17">
        <f t="shared" si="43"/>
        <v>9.0304113048935306E-2</v>
      </c>
      <c r="AG50" s="17">
        <f t="shared" si="44"/>
        <v>0.1397807734776956</v>
      </c>
      <c r="AH50" s="17">
        <f t="shared" si="45"/>
        <v>0.13139138780878828</v>
      </c>
      <c r="AI50" s="36">
        <f t="shared" si="46"/>
        <v>5.3653782840152521E-2</v>
      </c>
      <c r="AJ50" s="36">
        <f t="shared" si="48"/>
        <v>0.13710042005070502</v>
      </c>
      <c r="AK50" s="36">
        <f t="shared" si="56"/>
        <v>3.5095406728997197E-3</v>
      </c>
      <c r="AL50">
        <f t="shared" si="47"/>
        <v>2.6682101102629674</v>
      </c>
      <c r="AM50">
        <f t="shared" si="49"/>
        <v>3.7026980358715586E-4</v>
      </c>
      <c r="AN50">
        <f t="shared" si="50"/>
        <v>11.073692728238253</v>
      </c>
      <c r="AO50">
        <f t="shared" si="51"/>
        <v>7.1540597116495928</v>
      </c>
      <c r="AP50">
        <f t="shared" si="52"/>
        <v>7.6108489047644694</v>
      </c>
      <c r="AQ50">
        <f t="shared" si="53"/>
        <v>18.638014825147366</v>
      </c>
      <c r="AR50">
        <f t="shared" si="54"/>
        <v>7.2939236774778768</v>
      </c>
      <c r="AS50">
        <f t="shared" si="55"/>
        <v>284.93757252106752</v>
      </c>
    </row>
    <row r="51" spans="1:45" s="8" customFormat="1" x14ac:dyDescent="0.25">
      <c r="A51" s="8" t="s">
        <v>252</v>
      </c>
      <c r="B51" s="9" t="s">
        <v>143</v>
      </c>
      <c r="C51" s="9">
        <v>2014</v>
      </c>
      <c r="D51" s="67">
        <f>19115414711/1000</f>
        <v>19115414.710999999</v>
      </c>
      <c r="E51" s="67">
        <f>D51+((1149859372+64509504+35707141)/1000)</f>
        <v>20365490.728</v>
      </c>
      <c r="F51" s="67">
        <f>24410620224/1000</f>
        <v>24410620.223999999</v>
      </c>
      <c r="G51" s="12">
        <f>(4584716023)/1000</f>
        <v>4584716.023</v>
      </c>
      <c r="H51" s="12">
        <f>1673598</f>
        <v>1673598</v>
      </c>
      <c r="I51" s="67">
        <f>5484284958/1000</f>
        <v>5484284.9579999996</v>
      </c>
      <c r="J51" s="67">
        <f>12407295885/1000</f>
        <v>12407295.885</v>
      </c>
      <c r="K51" s="67">
        <f>18756833745/1000</f>
        <v>18756833.745000001</v>
      </c>
      <c r="L51" s="67">
        <f>25304893282/1000</f>
        <v>25304893.282000002</v>
      </c>
      <c r="M51" s="67">
        <f>6258313564/1000</f>
        <v>6258313.5640000002</v>
      </c>
      <c r="N51" s="61">
        <f>2918623508</f>
        <v>2918623508</v>
      </c>
      <c r="O51" s="61">
        <f>6497399359</f>
        <v>6497399359</v>
      </c>
      <c r="P51" s="61">
        <f>4379989035</f>
        <v>4379989035</v>
      </c>
      <c r="Q51" s="61">
        <f t="shared" si="57"/>
        <v>1673598000</v>
      </c>
      <c r="R51" s="61">
        <f>2117410324</f>
        <v>2117410324</v>
      </c>
      <c r="S51" s="64">
        <v>584153</v>
      </c>
      <c r="T51" s="39">
        <v>10529511336.850822</v>
      </c>
      <c r="U51" s="39">
        <v>243727620</v>
      </c>
      <c r="V51" s="39">
        <f>29020157</f>
        <v>29020157</v>
      </c>
      <c r="W51" s="39">
        <v>31885231000</v>
      </c>
      <c r="X51" s="16">
        <f t="shared" si="35"/>
        <v>4.1693781283517453</v>
      </c>
      <c r="Y51" s="16">
        <f t="shared" si="36"/>
        <v>4.4420397306688324</v>
      </c>
      <c r="Z51" s="16">
        <f t="shared" si="37"/>
        <v>5.3243472663388554</v>
      </c>
      <c r="AA51" s="16">
        <f t="shared" si="38"/>
        <v>1.4834282248380104</v>
      </c>
      <c r="AB51" s="16">
        <f t="shared" si="39"/>
        <v>3624.7529739640127</v>
      </c>
      <c r="AC51" s="16">
        <f t="shared" si="40"/>
        <v>0.70704035949152666</v>
      </c>
      <c r="AD51" s="16">
        <f t="shared" si="41"/>
        <v>6.6137326933145849E-2</v>
      </c>
      <c r="AE51" s="75">
        <f t="shared" si="42"/>
        <v>2864.9994094013041</v>
      </c>
      <c r="AF51" s="16">
        <f t="shared" si="43"/>
        <v>9.1535278762760103E-2</v>
      </c>
      <c r="AG51" s="16">
        <f t="shared" si="44"/>
        <v>0.20377457384580341</v>
      </c>
      <c r="AH51" s="16">
        <f t="shared" si="45"/>
        <v>0.13736732956396019</v>
      </c>
      <c r="AI51" s="16">
        <f>V51/$W51</f>
        <v>9.1014416674603993E-4</v>
      </c>
      <c r="AJ51" s="62">
        <f>T51/W51</f>
        <v>0.3302316152845442</v>
      </c>
      <c r="AK51" s="36">
        <f>U51/$W51</f>
        <v>7.6439032227804777E-3</v>
      </c>
      <c r="AL51" s="5">
        <f t="shared" si="47"/>
        <v>15.120054685772807</v>
      </c>
      <c r="AM51" s="5">
        <f t="shared" si="49"/>
        <v>3.4904021156813048E-4</v>
      </c>
      <c r="AN51" s="5">
        <f t="shared" si="50"/>
        <v>10.924749599460842</v>
      </c>
      <c r="AO51" s="5">
        <f t="shared" si="51"/>
        <v>4.9073835912261643</v>
      </c>
      <c r="AP51" s="5">
        <f t="shared" si="52"/>
        <v>7.2797513293318099</v>
      </c>
      <c r="AQ51" s="5">
        <f t="shared" si="53"/>
        <v>1098.7270330756653</v>
      </c>
      <c r="AR51" s="5">
        <f t="shared" si="54"/>
        <v>3.0281776599080303</v>
      </c>
      <c r="AS51" s="5">
        <f t="shared" si="55"/>
        <v>130.82321568642897</v>
      </c>
    </row>
    <row r="52" spans="1:45" x14ac:dyDescent="0.25">
      <c r="B52" s="54" t="s">
        <v>205</v>
      </c>
      <c r="C52" s="23">
        <v>2014</v>
      </c>
      <c r="D52" s="69">
        <f>208582+1733740+80725+26176</f>
        <v>2049223</v>
      </c>
      <c r="E52" s="69">
        <f>D52+1860574+4169+614940+52182+84435+42098+73098</f>
        <v>4780719</v>
      </c>
      <c r="F52" s="69">
        <f>E52+128730+20426+10733+35716+20339</f>
        <v>4996663</v>
      </c>
      <c r="G52" s="70">
        <f t="shared" ref="G52" si="58">M52-H52</f>
        <v>6502542</v>
      </c>
      <c r="H52" s="69">
        <f>571236+37035459+2322412+223915+166594+14645271+270668+660186+131214+984978+2056235</f>
        <v>59068168</v>
      </c>
      <c r="I52" s="69">
        <f>-54626289</f>
        <v>-54626289</v>
      </c>
      <c r="J52" s="69">
        <f>K52-(I52+3653132)</f>
        <v>1746352</v>
      </c>
      <c r="K52" s="69">
        <f>-49226805</f>
        <v>-49226805</v>
      </c>
      <c r="L52" s="69">
        <f>15933607</f>
        <v>15933607</v>
      </c>
      <c r="M52" s="69">
        <f>65570710</f>
        <v>65570710</v>
      </c>
      <c r="N52" s="69">
        <f>(5573170+1294445+3363611+168078)*1000</f>
        <v>10399304000</v>
      </c>
      <c r="O52" s="69">
        <f>19388*1000000</f>
        <v>19388000000</v>
      </c>
      <c r="P52" s="69">
        <f>21925*1000000</f>
        <v>21925000000</v>
      </c>
      <c r="Q52" s="69">
        <f>H52*1000</f>
        <v>59068168000</v>
      </c>
      <c r="R52" s="69">
        <f>-2536999*1000</f>
        <v>-2536999000</v>
      </c>
      <c r="S52" s="71">
        <v>3548397</v>
      </c>
      <c r="T52" s="78">
        <v>43638249000</v>
      </c>
      <c r="U52" s="79">
        <v>1988220000</v>
      </c>
      <c r="V52" s="79">
        <v>72266800000</v>
      </c>
      <c r="W52" s="80">
        <f>63779*1000000</f>
        <v>63779000000</v>
      </c>
      <c r="X52" s="52">
        <f>D52/G52</f>
        <v>0.31514183222499753</v>
      </c>
      <c r="Y52" s="52">
        <f t="shared" si="36"/>
        <v>0.73520770800096336</v>
      </c>
      <c r="Z52" s="52">
        <f t="shared" si="37"/>
        <v>0.76841687450846141</v>
      </c>
      <c r="AA52" s="52">
        <f t="shared" si="38"/>
        <v>0.88428734321550739</v>
      </c>
      <c r="AB52" s="52">
        <f t="shared" si="39"/>
        <v>-714.97045003701669</v>
      </c>
      <c r="AC52" s="52">
        <f t="shared" si="40"/>
        <v>-3.3187674956461524</v>
      </c>
      <c r="AD52" s="52">
        <f t="shared" si="41"/>
        <v>3.7071435237482637</v>
      </c>
      <c r="AE52" s="76">
        <f t="shared" si="42"/>
        <v>16646.437250397856</v>
      </c>
      <c r="AF52" s="52">
        <f t="shared" si="43"/>
        <v>0.16305216450555826</v>
      </c>
      <c r="AG52" s="52">
        <f t="shared" si="44"/>
        <v>0.30398720582009753</v>
      </c>
      <c r="AH52" s="52">
        <f t="shared" si="45"/>
        <v>0.34376518916884868</v>
      </c>
      <c r="AI52" s="53">
        <f t="shared" si="46"/>
        <v>1.1330814217845999</v>
      </c>
      <c r="AJ52" s="53">
        <f t="shared" si="48"/>
        <v>0.68421030433214691</v>
      </c>
      <c r="AK52" s="53">
        <f t="shared" si="56"/>
        <v>3.1173583781495477E-2</v>
      </c>
      <c r="AL52" s="54">
        <f>1/AD52</f>
        <v>0.26974946979902947</v>
      </c>
      <c r="AM52" s="54">
        <f t="shared" ref="AM52:AR52" si="59">1/AE52</f>
        <v>6.0072914399512106E-5</v>
      </c>
      <c r="AN52" s="54">
        <f t="shared" si="59"/>
        <v>6.1330065935181812</v>
      </c>
      <c r="AO52" s="54">
        <f t="shared" si="59"/>
        <v>3.2896121312151845</v>
      </c>
      <c r="AP52" s="54">
        <f t="shared" si="59"/>
        <v>2.908962371721779</v>
      </c>
      <c r="AQ52" s="54">
        <f t="shared" si="59"/>
        <v>0.8825491096879895</v>
      </c>
      <c r="AR52" s="54">
        <f t="shared" si="59"/>
        <v>1.4615389357166921</v>
      </c>
      <c r="AS52" s="54">
        <f>1/AK52</f>
        <v>32.078442023518527</v>
      </c>
    </row>
    <row r="53" spans="1:45" x14ac:dyDescent="0.25">
      <c r="B53" s="9" t="s">
        <v>207</v>
      </c>
      <c r="S53" s="68">
        <f>AVERAGE(S2:S52)</f>
        <v>6308756.0784313725</v>
      </c>
      <c r="T53" s="68">
        <f t="shared" ref="T53:AK53" si="60">AVERAGE(T2:T52)</f>
        <v>85999848815.165863</v>
      </c>
      <c r="U53" s="68">
        <f t="shared" si="60"/>
        <v>10207825142.639999</v>
      </c>
      <c r="V53" s="68">
        <f t="shared" si="60"/>
        <v>13756407081.509804</v>
      </c>
      <c r="W53" s="68">
        <f t="shared" si="60"/>
        <v>288253140000</v>
      </c>
      <c r="X53" s="16">
        <f>AVERAGE(X2:X52)</f>
        <v>2.4030727347207947</v>
      </c>
      <c r="Y53" s="16">
        <f t="shared" si="60"/>
        <v>3.1781856037528304</v>
      </c>
      <c r="Z53" s="16">
        <f>AVERAGE(Z2:Z52)</f>
        <v>3.540589478447941</v>
      </c>
      <c r="AA53" s="16">
        <f t="shared" si="60"/>
        <v>1.0574298797403743</v>
      </c>
      <c r="AB53" s="16">
        <f t="shared" si="60"/>
        <v>448.23785161459381</v>
      </c>
      <c r="AC53" s="16">
        <f t="shared" si="60"/>
        <v>-3.1847449279823102E-2</v>
      </c>
      <c r="AD53" s="16">
        <f t="shared" si="60"/>
        <v>0.46998433750413621</v>
      </c>
      <c r="AE53" s="16">
        <f t="shared" si="60"/>
        <v>3068.7897150944823</v>
      </c>
      <c r="AF53" s="16">
        <f t="shared" si="60"/>
        <v>6.2274618026142058E-2</v>
      </c>
      <c r="AG53" s="16">
        <f t="shared" si="60"/>
        <v>0.14327198028225463</v>
      </c>
      <c r="AH53" s="16">
        <f t="shared" si="60"/>
        <v>0.13464928301726439</v>
      </c>
      <c r="AI53" s="16">
        <f t="shared" si="60"/>
        <v>5.9671820743126304E-2</v>
      </c>
      <c r="AJ53" s="16">
        <f t="shared" si="60"/>
        <v>0.31007197792597141</v>
      </c>
      <c r="AK53" s="16">
        <f t="shared" si="60"/>
        <v>3.2616297864194455E-2</v>
      </c>
      <c r="AS53" s="9"/>
    </row>
    <row r="54" spans="1:45" x14ac:dyDescent="0.25">
      <c r="T54" s="16"/>
      <c r="U54" s="16"/>
      <c r="X54" s="16"/>
      <c r="Y54" s="16"/>
      <c r="Z54" s="16"/>
    </row>
    <row r="55" spans="1:45" x14ac:dyDescent="0.25">
      <c r="V55" s="74"/>
      <c r="W55" s="72"/>
      <c r="X55" s="16"/>
      <c r="Y55" s="16"/>
      <c r="Z55" s="16"/>
      <c r="AI55" s="17"/>
    </row>
    <row r="56" spans="1:45" x14ac:dyDescent="0.25">
      <c r="U56" s="38"/>
      <c r="V56" s="38"/>
      <c r="W56" s="72"/>
    </row>
    <row r="59" spans="1:45" x14ac:dyDescent="0.25">
      <c r="AI59" s="8"/>
      <c r="AJ59" s="17"/>
    </row>
    <row r="60" spans="1:45" x14ac:dyDescent="0.25">
      <c r="AI60" s="8"/>
      <c r="AJ60" s="17"/>
    </row>
    <row r="61" spans="1:45" x14ac:dyDescent="0.25">
      <c r="AI61" s="8"/>
      <c r="AJ61" s="17"/>
    </row>
    <row r="62" spans="1:45" x14ac:dyDescent="0.25">
      <c r="AI62" s="8"/>
      <c r="AJ62" s="17"/>
    </row>
    <row r="63" spans="1:45" x14ac:dyDescent="0.25">
      <c r="AI63" s="8"/>
      <c r="AJ63" s="17"/>
    </row>
    <row r="64" spans="1:45" x14ac:dyDescent="0.25">
      <c r="AJ64" s="17"/>
    </row>
  </sheetData>
  <autoFilter ref="B1:B56"/>
  <hyperlinks>
    <hyperlink ref="S1" r:id="rId1"/>
    <hyperlink ref="W1" r:id="rId2" location="reqid=70&amp;step=1&amp;isuri=1"/>
    <hyperlink ref="A27" r:id="rId3"/>
  </hyperlinks>
  <pageMargins left="0.75" right="0.75" top="1" bottom="1" header="0.5" footer="0.5"/>
  <pageSetup orientation="portrait" horizontalDpi="4294967292" verticalDpi="4294967292" r:id="rId4"/>
  <legacy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9"/>
  <sheetViews>
    <sheetView topLeftCell="B1" zoomScaleNormal="100" zoomScalePageLayoutView="115" workbookViewId="0">
      <pane xSplit="1" ySplit="1" topLeftCell="C2" activePane="bottomRight" state="frozen"/>
      <selection activeCell="B1" sqref="B1"/>
      <selection pane="topRight" activeCell="C1" sqref="C1"/>
      <selection pane="bottomLeft" activeCell="B2" sqref="B2"/>
      <selection pane="bottomRight" activeCell="AJ1" sqref="AJ1"/>
    </sheetView>
  </sheetViews>
  <sheetFormatPr defaultColWidth="12.875" defaultRowHeight="15.75" x14ac:dyDescent="0.25"/>
  <cols>
    <col min="2" max="2" width="15.625" customWidth="1"/>
    <col min="3" max="3" width="13.125" customWidth="1"/>
    <col min="10" max="10" width="19.375" customWidth="1"/>
    <col min="11" max="11" width="15.125" customWidth="1"/>
    <col min="12" max="12" width="15.5" customWidth="1"/>
    <col min="22" max="22" width="18.5" bestFit="1" customWidth="1"/>
    <col min="23" max="23" width="37.375" bestFit="1" customWidth="1"/>
    <col min="25" max="25" width="13.875" bestFit="1" customWidth="1"/>
    <col min="26" max="26" width="13.125" bestFit="1" customWidth="1"/>
    <col min="27" max="27" width="15" bestFit="1" customWidth="1"/>
    <col min="28" max="28" width="14.625" customWidth="1"/>
    <col min="29" max="29" width="13.125" bestFit="1" customWidth="1"/>
    <col min="31" max="31" width="10.125"/>
    <col min="32" max="32" width="14.875" bestFit="1" customWidth="1"/>
    <col min="33" max="33" width="18" bestFit="1" customWidth="1"/>
    <col min="34" max="34" width="12.125" bestFit="1" customWidth="1"/>
    <col min="35" max="35" width="14.5" bestFit="1" customWidth="1"/>
    <col min="36" max="36" width="14.5" customWidth="1"/>
    <col min="37" max="37" width="12" style="37" bestFit="1" customWidth="1"/>
  </cols>
  <sheetData>
    <row r="1" spans="1:38" ht="47.25" x14ac:dyDescent="0.25">
      <c r="A1" t="s">
        <v>0</v>
      </c>
      <c r="B1" t="s">
        <v>1</v>
      </c>
      <c r="C1" t="s">
        <v>2</v>
      </c>
      <c r="D1" s="9" t="s">
        <v>19</v>
      </c>
      <c r="E1" s="8" t="s">
        <v>20</v>
      </c>
      <c r="F1" s="8" t="s">
        <v>21</v>
      </c>
      <c r="G1" s="8" t="s">
        <v>22</v>
      </c>
      <c r="H1" s="8" t="s">
        <v>23</v>
      </c>
      <c r="I1" s="8" t="s">
        <v>24</v>
      </c>
      <c r="J1" s="10" t="s">
        <v>27</v>
      </c>
      <c r="K1" s="10" t="s">
        <v>28</v>
      </c>
      <c r="L1" s="10" t="s">
        <v>180</v>
      </c>
      <c r="M1" s="10" t="s">
        <v>181</v>
      </c>
      <c r="N1" s="10" t="s">
        <v>182</v>
      </c>
      <c r="O1" s="10" t="s">
        <v>198</v>
      </c>
      <c r="P1" s="10" t="s">
        <v>199</v>
      </c>
      <c r="Q1" s="10" t="s">
        <v>200</v>
      </c>
      <c r="R1" s="11" t="s">
        <v>144</v>
      </c>
      <c r="S1" s="11" t="s">
        <v>26</v>
      </c>
      <c r="T1" s="11" t="s">
        <v>204</v>
      </c>
      <c r="U1" s="11" t="s">
        <v>178</v>
      </c>
      <c r="V1" s="11" t="s">
        <v>179</v>
      </c>
      <c r="AE1" s="28" t="s">
        <v>145</v>
      </c>
      <c r="AF1" s="29" t="s">
        <v>146</v>
      </c>
      <c r="AG1" s="29" t="s">
        <v>147</v>
      </c>
      <c r="AH1" s="30" t="s">
        <v>148</v>
      </c>
      <c r="AI1" s="29" t="s">
        <v>149</v>
      </c>
      <c r="AJ1" s="42" t="s">
        <v>164</v>
      </c>
      <c r="AK1" s="43" t="s">
        <v>166</v>
      </c>
    </row>
    <row r="2" spans="1:38" ht="15.75" customHeight="1" x14ac:dyDescent="0.25">
      <c r="A2" t="s">
        <v>29</v>
      </c>
      <c r="B2" s="8" t="s">
        <v>30</v>
      </c>
      <c r="C2" s="8">
        <v>2014</v>
      </c>
      <c r="D2">
        <f>STANDARDIZE(Dataset!X2,'standardized values with PR'!$Y$3,'standardized values with PR'!$AA$3)</f>
        <v>0.36542541241726884</v>
      </c>
      <c r="E2">
        <f>STANDARDIZE(Dataset!Y2,'standardized values with PR'!$Y$4,'standardized values with PR'!$AA$4)</f>
        <v>0.29722924970243808</v>
      </c>
      <c r="F2">
        <f>STANDARDIZE(Dataset!Z2,'standardized values with PR'!$Y$5,'standardized values with PR'!$AA$5)</f>
        <v>0.41422159755767729</v>
      </c>
      <c r="G2">
        <f>STANDARDIZE(Dataset!AA2,'standardized values with PR'!$Y$6,'standardized values with PR'!$AA$6)</f>
        <v>-0.29462087186603492</v>
      </c>
      <c r="H2">
        <f>STANDARDIZE(Dataset!AB2,'standardized values with PR'!$Y$7,'standardized values with PR'!$AA$7)</f>
        <v>-0.2560456129059081</v>
      </c>
      <c r="I2">
        <f>STANDARDIZE(Dataset!AC2,'standardized values with PR'!$Y$8,'standardized values with PR'!$AA$8)</f>
        <v>0.19219214591845821</v>
      </c>
      <c r="J2">
        <f>STANDARDIZE(Dataset!AL2,'standardized values with PR'!$Y$14,'standardized values with PR'!$AA$14)</f>
        <v>-5.2565818032828983E-2</v>
      </c>
      <c r="K2">
        <f>STANDARDIZE(Dataset!AM2,'standardized values with PR'!$Y$15,'standardized values with PR'!$AA$15)</f>
        <v>0.14031933442635411</v>
      </c>
      <c r="L2">
        <f>STANDARDIZE(Dataset!AN2,'standardized values with PR'!$Y$16,'standardized values with PR'!$AA$16)</f>
        <v>0.8208436423001596</v>
      </c>
      <c r="M2">
        <f>STANDARDIZE(Dataset!AO2,'standardized values with PR'!$Y$17,'standardized values with PR'!$AA$17)</f>
        <v>0.39849014390216275</v>
      </c>
      <c r="N2">
        <f>STANDARDIZE(Dataset!AP2,'standardized values with PR'!$Y$18,'standardized values with PR'!$AA$18)</f>
        <v>0.31438413537588267</v>
      </c>
      <c r="O2">
        <f>STANDARDIZE(Dataset!AQ2,'standardized values with PR'!$Y$22,'standardized values with PR'!$AA$22)</f>
        <v>-0.17841888627249844</v>
      </c>
      <c r="P2">
        <f>STANDARDIZE(Dataset!AR2,'standardized values with PR'!$Y$23,'standardized values with PR'!$AA$23)</f>
        <v>-0.51906386378445935</v>
      </c>
      <c r="Q2">
        <f>STANDARDIZE(Dataset!AS2,'standardized values with PR'!$Y$24,'standardized values with PR'!$AA$24)</f>
        <v>-0.1839194531772346</v>
      </c>
      <c r="R2">
        <f>STANDARDIZE(Dataset!AD2,'standardized values with PR'!$Y$9,'standardized values with PR'!$AA$9)</f>
        <v>-0.44187269443851357</v>
      </c>
      <c r="S2">
        <f>STANDARDIZE(Dataset!AE2,'standardized values with PR'!$Y$10,'standardized values with PR'!$AA$10)</f>
        <v>-0.5904256157352008</v>
      </c>
      <c r="T2">
        <f>STANDARDIZE(Dataset!AF2,'standardized values with PR'!$Y$11,'standardized values with PR'!$AA$11)</f>
        <v>-0.72516087789524231</v>
      </c>
      <c r="U2">
        <f>STANDARDIZE(Dataset!AG2,'standardized values with PR'!$Y$12,'standardized values with PR'!$AA$12)</f>
        <v>-0.43858157591193619</v>
      </c>
      <c r="V2">
        <f>STANDARDIZE(Dataset!AH2,'standardized values with PR'!$Y$13,'standardized values with PR'!$AA$13)</f>
        <v>-0.42294249964699115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E2" s="8" t="s">
        <v>30</v>
      </c>
      <c r="AF2" s="31">
        <f>SUM(D2:F2)</f>
        <v>1.0768762596773842</v>
      </c>
      <c r="AG2" s="31">
        <f>SUM(I2:K2)</f>
        <v>0.27994566231198337</v>
      </c>
      <c r="AH2" s="31">
        <f>SUM(G2:H2)</f>
        <v>-0.55066648477194302</v>
      </c>
      <c r="AI2" s="31">
        <f>SUM(L2:N2)</f>
        <v>1.5337179215782051</v>
      </c>
      <c r="AJ2" s="31">
        <f>SUM(O2:Q2)</f>
        <v>-0.88140220323419238</v>
      </c>
      <c r="AK2" s="31">
        <f>(0.35*AF2)+(0.35*AH2)+(0.1*AG2)+(0.1*AI2) +(0.1*AJ2)</f>
        <v>0.27739955928250404</v>
      </c>
      <c r="AL2" s="34"/>
    </row>
    <row r="3" spans="1:38" x14ac:dyDescent="0.25">
      <c r="A3" s="18" t="s">
        <v>37</v>
      </c>
      <c r="B3" s="8" t="s">
        <v>38</v>
      </c>
      <c r="C3" s="8">
        <v>2014</v>
      </c>
      <c r="D3">
        <f>STANDARDIZE(Dataset!X3,'standardized values with PR'!$Y$3,'standardized values with PR'!$AA$3)</f>
        <v>6.2193463819909844</v>
      </c>
      <c r="E3">
        <f>STANDARDIZE(Dataset!Y3,'standardized values with PR'!$Y$4,'standardized values with PR'!$AA$4)</f>
        <v>6.0127871613723425</v>
      </c>
      <c r="F3">
        <f>STANDARDIZE(Dataset!Z3,'standardized values with PR'!$Y$5,'standardized values with PR'!$AA$5)</f>
        <v>5.9633053886708449</v>
      </c>
      <c r="G3">
        <f>STANDARDIZE(Dataset!AA3,'standardized values with PR'!$Y$6,'standardized values with PR'!$AA$6)</f>
        <v>4.1448745397749205</v>
      </c>
      <c r="H3">
        <f>STANDARDIZE(Dataset!AB3,'standardized values with PR'!$Y$7,'standardized values with PR'!$AA$7)</f>
        <v>5.7044615751830579</v>
      </c>
      <c r="I3">
        <f>STANDARDIZE(Dataset!AC3,'standardized values with PR'!$Y$8,'standardized values with PR'!$AA$8)</f>
        <v>1.4119084167460032</v>
      </c>
      <c r="J3">
        <f>STANDARDIZE(Dataset!AL3,'standardized values with PR'!$Y$14,'standardized values with PR'!$AA$14)</f>
        <v>4.2022119859286686</v>
      </c>
      <c r="K3">
        <f>STANDARDIZE(Dataset!AM3,'standardized values with PR'!$Y$15,'standardized values with PR'!$AA$15)</f>
        <v>-0.54451437472073339</v>
      </c>
      <c r="L3">
        <f>STANDARDIZE(Dataset!AN3,'standardized values with PR'!$Y$16,'standardized values with PR'!$AA$16)</f>
        <v>-0.81586276673637892</v>
      </c>
      <c r="M3">
        <f>STANDARDIZE(Dataset!AO3,'standardized values with PR'!$Y$17,'standardized values with PR'!$AA$17)</f>
        <v>-2.6344127535197961</v>
      </c>
      <c r="N3">
        <f>STANDARDIZE(Dataset!AP3,'standardized values with PR'!$Y$18,'standardized values with PR'!$AA$18)</f>
        <v>-2.1601260398670088</v>
      </c>
      <c r="O3">
        <f>STANDARDIZE(Dataset!AQ3,'standardized values with PR'!$Y$22,'standardized values with PR'!$AA$22)</f>
        <v>-0.20721181331804434</v>
      </c>
      <c r="P3">
        <f>STANDARDIZE(Dataset!AR3,'standardized values with PR'!$Y$23,'standardized values with PR'!$AA$23)</f>
        <v>-1.635199422714855</v>
      </c>
      <c r="Q3">
        <f>STANDARDIZE(Dataset!AS3,'standardized values with PR'!$Y$24,'standardized values with PR'!$AA$24)</f>
        <v>-0.18483582605045015</v>
      </c>
      <c r="R3">
        <f>STANDARDIZE(Dataset!AD3,'standardized values with PR'!$Y$9,'standardized values with PR'!$AA$9)</f>
        <v>-0.71594207668225751</v>
      </c>
      <c r="S3">
        <f>STANDARDIZE(Dataset!AE3,'standardized values with PR'!$Y$10,'standardized values with PR'!$AA$10)</f>
        <v>0.18834612577065915</v>
      </c>
      <c r="T3">
        <f>STANDARDIZE(Dataset!AF3,'standardized values with PR'!$Y$11,'standardized values with PR'!$AA$11)</f>
        <v>0.51903904588444849</v>
      </c>
      <c r="U3">
        <f>STANDARDIZE(Dataset!AG3,'standardized values with PR'!$Y$12,'standardized values with PR'!$AA$12)</f>
        <v>4.9076927130881085</v>
      </c>
      <c r="V3">
        <f>STANDARDIZE(Dataset!AH3,'standardized values with PR'!$Y$13,'standardized values with PR'!$AA$13)</f>
        <v>3.078485639200383</v>
      </c>
      <c r="W3" t="s">
        <v>39</v>
      </c>
      <c r="X3" s="81">
        <v>51</v>
      </c>
      <c r="Y3" s="19">
        <f>AVERAGE(Dataset!$X$2:$X$51,Dataset!$X$52)</f>
        <v>2.4030727347207947</v>
      </c>
      <c r="Z3" s="19">
        <f>MEDIAN(Dataset!$X$2:$X$51,Dataset!$X$52)</f>
        <v>1.6337842407648955</v>
      </c>
      <c r="AA3" s="19">
        <f>STDEV(Dataset!$X$2:$X$51,Dataset!$X$52)</f>
        <v>3.2252191387379829</v>
      </c>
      <c r="AB3" s="19">
        <f>MAX(Dataset!$X$2:$X$51,Dataset!$X$52)</f>
        <v>22.461827716358947</v>
      </c>
      <c r="AC3" s="19">
        <f>MIN(Dataset!$X$2:$X$51,Dataset!$X$52)</f>
        <v>0.31514183222499753</v>
      </c>
      <c r="AD3" s="17"/>
      <c r="AE3" s="8" t="s">
        <v>38</v>
      </c>
      <c r="AF3" s="31">
        <f t="shared" ref="AF3:AF52" si="0">SUM(D3:F3)</f>
        <v>18.195438932034172</v>
      </c>
      <c r="AG3" s="31">
        <f t="shared" ref="AG3:AG50" si="1">SUM(I3:K3)</f>
        <v>5.069606027953939</v>
      </c>
      <c r="AH3" s="31">
        <f t="shared" ref="AH3:AH52" si="2">SUM(G3:H3)</f>
        <v>9.8493361149579783</v>
      </c>
      <c r="AI3" s="31">
        <f t="shared" ref="AI3:AI52" si="3">SUM(L3:N3)</f>
        <v>-5.6104015601231838</v>
      </c>
      <c r="AJ3" s="31">
        <f t="shared" ref="AJ3:AJ52" si="4">SUM(O3:Q3)</f>
        <v>-2.0272470620833496</v>
      </c>
      <c r="AK3" s="31">
        <f t="shared" ref="AK3:AK52" si="5">(0.35*AF3)+(0.35*AH3)+(0.1*AG3)+(0.1*AI3) +(0.1*AJ3)</f>
        <v>9.558867007021993</v>
      </c>
      <c r="AL3" s="17"/>
    </row>
    <row r="4" spans="1:38" ht="15.75" customHeight="1" x14ac:dyDescent="0.25">
      <c r="A4" t="s">
        <v>40</v>
      </c>
      <c r="B4" s="8" t="s">
        <v>41</v>
      </c>
      <c r="C4" s="8">
        <v>2014</v>
      </c>
      <c r="D4">
        <f>STANDARDIZE(Dataset!X4,'standardized values with PR'!$Y$3,'standardized values with PR'!$AA$3)</f>
        <v>-0.48330800823421671</v>
      </c>
      <c r="E4">
        <f>STANDARDIZE(Dataset!Y4,'standardized values with PR'!$Y$4,'standardized values with PR'!$AA$4)</f>
        <v>-0.63742734513233934</v>
      </c>
      <c r="F4">
        <f>STANDARDIZE(Dataset!Z4,'standardized values with PR'!$Y$5,'standardized values with PR'!$AA$5)</f>
        <v>-0.66121443802188828</v>
      </c>
      <c r="G4">
        <f>STANDARDIZE(Dataset!AA4,'standardized values with PR'!$Y$6,'standardized values with PR'!$AA$6)</f>
        <v>-4.8969479523154093E-2</v>
      </c>
      <c r="H4">
        <f>STANDARDIZE(Dataset!AB4,'standardized values with PR'!$Y$7,'standardized values with PR'!$AA$7)</f>
        <v>-0.1577481229599686</v>
      </c>
      <c r="I4">
        <f>STANDARDIZE(Dataset!AC4,'standardized values with PR'!$Y$8,'standardized values with PR'!$AA$8)</f>
        <v>0.28410085662109857</v>
      </c>
      <c r="J4">
        <f>STANDARDIZE(Dataset!AL4,'standardized values with PR'!$Y$14,'standardized values with PR'!$AA$14)</f>
        <v>-0.22523556179205398</v>
      </c>
      <c r="K4">
        <f>STANDARDIZE(Dataset!AM4,'standardized values with PR'!$Y$15,'standardized values with PR'!$AA$15)</f>
        <v>-3.7360352243478168E-2</v>
      </c>
      <c r="L4">
        <f>STANDARDIZE(Dataset!AN4,'standardized values with PR'!$Y$16,'standardized values with PR'!$AA$16)</f>
        <v>0.4668091023931773</v>
      </c>
      <c r="M4">
        <f>STANDARDIZE(Dataset!AO4,'standardized values with PR'!$Y$17,'standardized values with PR'!$AA$17)</f>
        <v>0.19428201047758387</v>
      </c>
      <c r="N4">
        <f>STANDARDIZE(Dataset!AP4,'standardized values with PR'!$Y$18,'standardized values with PR'!$AA$18)</f>
        <v>0.22274642729041944</v>
      </c>
      <c r="O4">
        <f>STANDARDIZE(Dataset!AQ4,'standardized values with PR'!$Y$22,'standardized values with PR'!$AA$22)</f>
        <v>-0.19850780846292884</v>
      </c>
      <c r="P4">
        <f>STANDARDIZE(Dataset!AR4,'standardized values with PR'!$Y$23,'standardized values with PR'!$AA$23)</f>
        <v>-0.15097023865234971</v>
      </c>
      <c r="Q4">
        <f>STANDARDIZE(Dataset!AS4,'standardized values with PR'!$Y$24,'standardized values with PR'!$AA$24)</f>
        <v>0.44981975771481614</v>
      </c>
      <c r="R4">
        <f>STANDARDIZE(Dataset!AD4,'standardized values with PR'!$Y$9,'standardized values with PR'!$AA$9)</f>
        <v>-0.34774551022876388</v>
      </c>
      <c r="S4">
        <f>STANDARDIZE(Dataset!AE4,'standardized values with PR'!$Y$10,'standardized values with PR'!$AA$10)</f>
        <v>-0.50228575167352063</v>
      </c>
      <c r="T4">
        <f>STANDARDIZE(Dataset!AF4,'standardized values with PR'!$Y$11,'standardized values with PR'!$AA$11)</f>
        <v>-0.54829238743896325</v>
      </c>
      <c r="U4">
        <f>STANDARDIZE(Dataset!AG4,'standardized values with PR'!$Y$12,'standardized values with PR'!$AA$12)</f>
        <v>-0.33557913591797617</v>
      </c>
      <c r="V4">
        <f>STANDARDIZE(Dataset!AH4,'standardized values with PR'!$Y$13,'standardized values with PR'!$AA$13)</f>
        <v>-0.3681769176779715</v>
      </c>
      <c r="W4" t="s">
        <v>42</v>
      </c>
      <c r="X4" s="81">
        <v>51</v>
      </c>
      <c r="Y4" s="19">
        <f>AVERAGE(Dataset!$Y$2:$Y$51,Dataset!$Y$52)</f>
        <v>3.1781856037528304</v>
      </c>
      <c r="Z4" s="19">
        <f>MEDIAN(Dataset!$Y$2:$Y$51,Dataset!$Y$52)</f>
        <v>2.4144747126307546</v>
      </c>
      <c r="AA4" s="19">
        <f>STDEV(Dataset!$Y$2:$Y$51,Dataset!$Y$52)</f>
        <v>3.2653063352178759</v>
      </c>
      <c r="AB4" s="19">
        <f>MAX(Dataset!$Y$2:$Y$51,Dataset!$Y$52)</f>
        <v>22.811777614098649</v>
      </c>
      <c r="AC4" s="19">
        <f>MIN(Dataset!$Y$2:$Y$51,Dataset!$Y$52)</f>
        <v>0.73520770800096336</v>
      </c>
      <c r="AE4" s="8" t="s">
        <v>41</v>
      </c>
      <c r="AF4" s="31">
        <f t="shared" si="0"/>
        <v>-1.7819497913884443</v>
      </c>
      <c r="AG4" s="31">
        <f t="shared" si="1"/>
        <v>2.1504942585566428E-2</v>
      </c>
      <c r="AH4" s="31">
        <f t="shared" si="2"/>
        <v>-0.20671760248312268</v>
      </c>
      <c r="AI4" s="31">
        <f t="shared" si="3"/>
        <v>0.88383754016118066</v>
      </c>
      <c r="AJ4" s="31">
        <f t="shared" si="4"/>
        <v>0.10034171059953761</v>
      </c>
      <c r="AK4" s="31">
        <f t="shared" si="5"/>
        <v>-0.59546516852041986</v>
      </c>
    </row>
    <row r="5" spans="1:38" ht="15.75" customHeight="1" x14ac:dyDescent="0.25">
      <c r="A5" t="s">
        <v>43</v>
      </c>
      <c r="B5" s="8" t="s">
        <v>44</v>
      </c>
      <c r="C5" s="8">
        <v>2014</v>
      </c>
      <c r="D5">
        <f>STANDARDIZE(Dataset!X5,'standardized values with PR'!$Y$3,'standardized values with PR'!$AA$3)</f>
        <v>7.5111019670475454E-2</v>
      </c>
      <c r="E5">
        <f>STANDARDIZE(Dataset!Y5,'standardized values with PR'!$Y$4,'standardized values with PR'!$AA$4)</f>
        <v>3.2085238261870042E-2</v>
      </c>
      <c r="F5">
        <f>STANDARDIZE(Dataset!Z5,'standardized values with PR'!$Y$5,'standardized values with PR'!$AA$5)</f>
        <v>-2.0889753796084851E-2</v>
      </c>
      <c r="G5">
        <f>STANDARDIZE(Dataset!AA5,'standardized values with PR'!$Y$6,'standardized values with PR'!$AA$6)</f>
        <v>-0.33351549444534434</v>
      </c>
      <c r="H5">
        <f>STANDARDIZE(Dataset!AB5,'standardized values with PR'!$Y$7,'standardized values with PR'!$AA$7)</f>
        <v>-0.24275668294076391</v>
      </c>
      <c r="I5">
        <f>STANDARDIZE(Dataset!AC5,'standardized values with PR'!$Y$8,'standardized values with PR'!$AA$8)</f>
        <v>0.32026184348601799</v>
      </c>
      <c r="J5">
        <f>STANDARDIZE(Dataset!AL5,'standardized values with PR'!$Y$14,'standardized values with PR'!$AA$14)</f>
        <v>-0.26617395174491582</v>
      </c>
      <c r="K5">
        <f>STANDARDIZE(Dataset!AM5,'standardized values with PR'!$Y$15,'standardized values with PR'!$AA$15)</f>
        <v>-0.29507876745974881</v>
      </c>
      <c r="L5">
        <f>STANDARDIZE(Dataset!AN5,'standardized values with PR'!$Y$16,'standardized values with PR'!$AA$16)</f>
        <v>-0.46725216711788137</v>
      </c>
      <c r="M5">
        <f>STANDARDIZE(Dataset!AO5,'standardized values with PR'!$Y$17,'standardized values with PR'!$AA$17)</f>
        <v>-0.9654065325864627</v>
      </c>
      <c r="N5">
        <f>STANDARDIZE(Dataset!AP5,'standardized values with PR'!$Y$18,'standardized values with PR'!$AA$18)</f>
        <v>-1.0787716876326379</v>
      </c>
      <c r="O5">
        <f>STANDARDIZE(Dataset!AQ5,'standardized values with PR'!$Y$22,'standardized values with PR'!$AA$22)</f>
        <v>-0.19121393614994636</v>
      </c>
      <c r="P5">
        <f>STANDARDIZE(Dataset!AR5,'standardized values with PR'!$Y$23,'standardized values with PR'!$AA$23)</f>
        <v>-0.20562409850127186</v>
      </c>
      <c r="Q5">
        <f>STANDARDIZE(Dataset!AS5,'standardized values with PR'!$Y$24,'standardized values with PR'!$AA$24)</f>
        <v>-0.17458536265424329</v>
      </c>
      <c r="R5">
        <f>STANDARDIZE(Dataset!AD5,'standardized values with PR'!$Y$9,'standardized values with PR'!$AA$9)</f>
        <v>-0.316798058531154</v>
      </c>
      <c r="S5">
        <f>STANDARDIZE(Dataset!AE5,'standardized values with PR'!$Y$10,'standardized values with PR'!$AA$10)</f>
        <v>-0.28771883454973451</v>
      </c>
      <c r="T5">
        <f>STANDARDIZE(Dataset!AF5,'standardized values with PR'!$Y$11,'standardized values with PR'!$AA$11)</f>
        <v>0.13244260513080608</v>
      </c>
      <c r="U5">
        <f>STANDARDIZE(Dataset!AG5,'standardized values with PR'!$Y$12,'standardized values with PR'!$AA$12)</f>
        <v>0.53400720527281065</v>
      </c>
      <c r="V5">
        <f>STANDARDIZE(Dataset!AH5,'standardized values with PR'!$Y$13,'standardized values with PR'!$AA$13)</f>
        <v>0.79342519256878175</v>
      </c>
      <c r="W5" s="8" t="s">
        <v>45</v>
      </c>
      <c r="X5" s="81">
        <v>51</v>
      </c>
      <c r="Y5" s="19">
        <f>AVERAGE(Dataset!$Z$2:$Z$51,Dataset!$Z$52)</f>
        <v>3.540589478447941</v>
      </c>
      <c r="Z5" s="19">
        <f>MEDIAN(Dataset!$Z$2:$Z$51,Dataset!$Z$52)</f>
        <v>2.5608874926783223</v>
      </c>
      <c r="AA5" s="19">
        <f>STDEV(Dataset!$Z$2:$Z$51,Dataset!$Z$52)</f>
        <v>3.336341744845444</v>
      </c>
      <c r="AB5" s="19">
        <f>MAX(Dataset!$Z$2:$Z$51,Dataset!$Z$52)</f>
        <v>23.436214183932268</v>
      </c>
      <c r="AC5" s="19">
        <f>MIN(Dataset!$Z$2:$Z$51,Dataset!$Z$52)</f>
        <v>0.76841687450846141</v>
      </c>
      <c r="AE5" s="8" t="s">
        <v>44</v>
      </c>
      <c r="AF5" s="31">
        <f t="shared" si="0"/>
        <v>8.6306504136260648E-2</v>
      </c>
      <c r="AG5" s="31">
        <f t="shared" si="1"/>
        <v>-0.24099087571864664</v>
      </c>
      <c r="AH5" s="31">
        <f t="shared" si="2"/>
        <v>-0.57627217738610825</v>
      </c>
      <c r="AI5" s="31">
        <f t="shared" si="3"/>
        <v>-2.5114303873369819</v>
      </c>
      <c r="AJ5" s="31">
        <f t="shared" si="4"/>
        <v>-0.57142339730546154</v>
      </c>
      <c r="AK5" s="31">
        <f t="shared" si="5"/>
        <v>-0.50387245167355565</v>
      </c>
    </row>
    <row r="6" spans="1:38" ht="15.75" customHeight="1" x14ac:dyDescent="0.25">
      <c r="A6" t="s">
        <v>46</v>
      </c>
      <c r="B6" s="8" t="s">
        <v>47</v>
      </c>
      <c r="C6" s="8">
        <v>2014</v>
      </c>
      <c r="D6">
        <f>STANDARDIZE(Dataset!X6,'standardized values with PR'!$Y$3,'standardized values with PR'!$AA$3)</f>
        <v>-0.53580480672638375</v>
      </c>
      <c r="E6">
        <f>STANDARDIZE(Dataset!Y6,'standardized values with PR'!$Y$4,'standardized values with PR'!$AA$4)</f>
        <v>-0.65866268486331736</v>
      </c>
      <c r="F6">
        <f>STANDARDIZE(Dataset!Z6,'standardized values with PR'!$Y$5,'standardized values with PR'!$AA$5)</f>
        <v>-0.63060820127309969</v>
      </c>
      <c r="G6">
        <f>STANDARDIZE(Dataset!AA6,'standardized values with PR'!$Y$6,'standardized values with PR'!$AA$6)</f>
        <v>-0.13576124050456823</v>
      </c>
      <c r="H6">
        <f>STANDARDIZE(Dataset!AB6,'standardized values with PR'!$Y$7,'standardized values with PR'!$AA$7)</f>
        <v>-0.14422568408549633</v>
      </c>
      <c r="I6">
        <f>STANDARDIZE(Dataset!AC6,'standardized values with PR'!$Y$8,'standardized values with PR'!$AA$8)</f>
        <v>-0.59351651465814159</v>
      </c>
      <c r="J6">
        <f>STANDARDIZE(Dataset!AL6,'standardized values with PR'!$Y$14,'standardized values with PR'!$AA$14)</f>
        <v>-0.61043063777758888</v>
      </c>
      <c r="K6">
        <f>STANDARDIZE(Dataset!AM6,'standardized values with PR'!$Y$15,'standardized values with PR'!$AA$15)</f>
        <v>-0.59402475392258203</v>
      </c>
      <c r="L6">
        <f>STANDARDIZE(Dataset!AN6,'standardized values with PR'!$Y$16,'standardized values with PR'!$AA$16)</f>
        <v>-0.44186291576513825</v>
      </c>
      <c r="M6">
        <f>STANDARDIZE(Dataset!AO6,'standardized values with PR'!$Y$17,'standardized values with PR'!$AA$17)</f>
        <v>7.7629501514267868E-2</v>
      </c>
      <c r="N6">
        <f>STANDARDIZE(Dataset!AP6,'standardized values with PR'!$Y$18,'standardized values with PR'!$AA$18)</f>
        <v>6.1864519475426816E-2</v>
      </c>
      <c r="O6">
        <f>STANDARDIZE(Dataset!AQ6,'standardized values with PR'!$Y$22,'standardized values with PR'!$AA$22)</f>
        <v>-0.21499141264774596</v>
      </c>
      <c r="P6">
        <f>STANDARDIZE(Dataset!AR6,'standardized values with PR'!$Y$23,'standardized values with PR'!$AA$23)</f>
        <v>-0.83268003644239297</v>
      </c>
      <c r="Q6">
        <f>STANDARDIZE(Dataset!AS6,'standardized values with PR'!$Y$24,'standardized values with PR'!$AA$24)</f>
        <v>-0.17383369206578553</v>
      </c>
      <c r="R6">
        <f>STANDARDIZE(Dataset!AD6,'standardized values with PR'!$Y$9,'standardized values with PR'!$AA$9)</f>
        <v>0.42521732417453084</v>
      </c>
      <c r="S6">
        <f>STANDARDIZE(Dataset!AE6,'standardized values with PR'!$Y$10,'standardized values with PR'!$AA$10)</f>
        <v>0.36522099037886002</v>
      </c>
      <c r="T6">
        <f>STANDARDIZE(Dataset!AF6,'standardized values with PR'!$Y$11,'standardized values with PR'!$AA$11)</f>
        <v>0.10800400684122474</v>
      </c>
      <c r="U6">
        <f>STANDARDIZE(Dataset!AG6,'standardized values with PR'!$Y$12,'standardized values with PR'!$AA$12)</f>
        <v>-0.27183075136034912</v>
      </c>
      <c r="V6">
        <f>STANDARDIZE(Dataset!AH6,'standardized values with PR'!$Y$13,'standardized values with PR'!$AA$13)</f>
        <v>-0.26590428869630772</v>
      </c>
      <c r="W6" t="s">
        <v>206</v>
      </c>
      <c r="X6" s="81">
        <v>51</v>
      </c>
      <c r="Y6" s="19">
        <f>AVERAGE(Dataset!$AA$2:$AA$51,Dataset!$AA$52)</f>
        <v>1.0574298797403743</v>
      </c>
      <c r="Z6" s="19">
        <f>MEDIAN(Dataset!$AA$2:$AA$51,Dataset!$AA$52)</f>
        <v>1.0388067970953188</v>
      </c>
      <c r="AA6" s="19">
        <f>STDEV(Dataset!$AA$2:$AA$51,Dataset!$AA$52)</f>
        <v>0.11936256457858183</v>
      </c>
      <c r="AB6" s="19">
        <f>MAX(Dataset!$AA$2:$AA$51,Dataset!$AA$52)</f>
        <v>1.5521727346643779</v>
      </c>
      <c r="AC6" s="19">
        <f>MIN(Dataset!$AA$2:$AA$51,Dataset!$AA$52)</f>
        <v>0.88428734321550739</v>
      </c>
      <c r="AE6" s="8" t="s">
        <v>47</v>
      </c>
      <c r="AF6" s="31">
        <f t="shared" si="0"/>
        <v>-1.8250756928628009</v>
      </c>
      <c r="AG6" s="31">
        <f t="shared" si="1"/>
        <v>-1.7979719063583126</v>
      </c>
      <c r="AH6" s="31">
        <f t="shared" si="2"/>
        <v>-0.27998692459006458</v>
      </c>
      <c r="AI6" s="31">
        <f t="shared" si="3"/>
        <v>-0.3023688947754436</v>
      </c>
      <c r="AJ6" s="31">
        <f t="shared" si="4"/>
        <v>-1.2215051411559243</v>
      </c>
      <c r="AK6" s="31">
        <f t="shared" si="5"/>
        <v>-1.068956510337471</v>
      </c>
    </row>
    <row r="7" spans="1:38" ht="15.75" customHeight="1" x14ac:dyDescent="0.25">
      <c r="A7" t="s">
        <v>48</v>
      </c>
      <c r="B7" s="8" t="s">
        <v>49</v>
      </c>
      <c r="C7" s="8">
        <v>2014</v>
      </c>
      <c r="D7">
        <f>STANDARDIZE(Dataset!X7,'standardized values with PR'!$Y$3,'standardized values with PR'!$AA$3)</f>
        <v>-0.35805395022912745</v>
      </c>
      <c r="E7">
        <f>STANDARDIZE(Dataset!Y7,'standardized values with PR'!$Y$4,'standardized values with PR'!$AA$4)</f>
        <v>-0.43386559869921437</v>
      </c>
      <c r="F7">
        <f>STANDARDIZE(Dataset!Z7,'standardized values with PR'!$Y$5,'standardized values with PR'!$AA$5)</f>
        <v>-0.45838736633026445</v>
      </c>
      <c r="G7">
        <f>STANDARDIZE(Dataset!AA7,'standardized values with PR'!$Y$6,'standardized values with PR'!$AA$6)</f>
        <v>-5.5818975658300719E-2</v>
      </c>
      <c r="H7">
        <f>STANDARDIZE(Dataset!AB7,'standardized values with PR'!$Y$7,'standardized values with PR'!$AA$7)</f>
        <v>-0.14408431748586523</v>
      </c>
      <c r="I7">
        <f>STANDARDIZE(Dataset!AC7,'standardized values with PR'!$Y$8,'standardized values with PR'!$AA$8)</f>
        <v>0.48322454274579119</v>
      </c>
      <c r="J7">
        <f>STANDARDIZE(Dataset!AL7,'standardized values with PR'!$Y$14,'standardized values with PR'!$AA$14)</f>
        <v>-0.10580879049165676</v>
      </c>
      <c r="K7">
        <f>STANDARDIZE(Dataset!AM7,'standardized values with PR'!$Y$15,'standardized values with PR'!$AA$15)</f>
        <v>0.11657122400383872</v>
      </c>
      <c r="L7">
        <f>STANDARDIZE(Dataset!AN7,'standardized values with PR'!$Y$16,'standardized values with PR'!$AA$16)</f>
        <v>1.2851893865688413</v>
      </c>
      <c r="M7">
        <f>STANDARDIZE(Dataset!AO7,'standardized values with PR'!$Y$17,'standardized values with PR'!$AA$17)</f>
        <v>0.78092795541310034</v>
      </c>
      <c r="N7">
        <f>STANDARDIZE(Dataset!AP7,'standardized values with PR'!$Y$18,'standardized values with PR'!$AA$18)</f>
        <v>0.8297834691203414</v>
      </c>
      <c r="O7">
        <f>STANDARDIZE(Dataset!AQ7,'standardized values with PR'!$Y$22,'standardized values with PR'!$AA$22)</f>
        <v>-0.16884521343315342</v>
      </c>
      <c r="P7">
        <f>STANDARDIZE(Dataset!AR7,'standardized values with PR'!$Y$23,'standardized values with PR'!$AA$23)</f>
        <v>-0.36537687602676305</v>
      </c>
      <c r="Q7">
        <f>STANDARDIZE(Dataset!AS7,'standardized values with PR'!$Y$24,'standardized values with PR'!$AA$24)</f>
        <v>-0.14527712971402451</v>
      </c>
      <c r="R7">
        <f>STANDARDIZE(Dataset!AD7,'standardized values with PR'!$Y$9,'standardized values with PR'!$AA$9)</f>
        <v>-0.41771205783229232</v>
      </c>
      <c r="S7">
        <f>STANDARDIZE(Dataset!AE7,'standardized values with PR'!$Y$10,'standardized values with PR'!$AA$10)</f>
        <v>-0.58036642173235853</v>
      </c>
      <c r="T7">
        <f>STANDARDIZE(Dataset!AF7,'standardized values with PR'!$Y$11,'standardized values with PR'!$AA$11)</f>
        <v>-0.91550508045374812</v>
      </c>
      <c r="U7">
        <f>STANDARDIZE(Dataset!AG7,'standardized values with PR'!$Y$12,'standardized values with PR'!$AA$12)</f>
        <v>-0.60660713763748131</v>
      </c>
      <c r="V7">
        <f>STANDARDIZE(Dataset!AH7,'standardized values with PR'!$Y$13,'standardized values with PR'!$AA$13)</f>
        <v>-0.69144923064329356</v>
      </c>
      <c r="W7" t="s">
        <v>50</v>
      </c>
      <c r="X7" s="81">
        <v>51</v>
      </c>
      <c r="Y7" s="19">
        <f>AVERAGE(Dataset!$AB$2:$AB$51,Dataset!$AB$52)</f>
        <v>448.23785161459381</v>
      </c>
      <c r="Z7" s="19">
        <f>MEDIAN(Dataset!$AB$2:$AB$51,Dataset!$AB$52)</f>
        <v>179.76111343966178</v>
      </c>
      <c r="AA7" s="19">
        <f>STDEV(Dataset!$AB$2:$AB$51,Dataset!$AB$52)</f>
        <v>1375.7405255002475</v>
      </c>
      <c r="AB7" s="19">
        <f>MAX(Dataset!$AB$2:$AB$51,Dataset!$AB$52)</f>
        <v>8296.0968167529027</v>
      </c>
      <c r="AC7" s="19">
        <f>MIN(Dataset!$AB$2:$AB$51,Dataset!$AB$52)</f>
        <v>-714.97045003701669</v>
      </c>
      <c r="AE7" s="8" t="s">
        <v>49</v>
      </c>
      <c r="AF7" s="31">
        <f t="shared" si="0"/>
        <v>-1.2503069152586064</v>
      </c>
      <c r="AG7" s="31">
        <f t="shared" si="1"/>
        <v>0.49398697625797316</v>
      </c>
      <c r="AH7" s="31">
        <f t="shared" si="2"/>
        <v>-0.19990329314416594</v>
      </c>
      <c r="AI7" s="31">
        <f t="shared" si="3"/>
        <v>2.8959008111022833</v>
      </c>
      <c r="AJ7" s="31">
        <f t="shared" si="4"/>
        <v>-0.67949921917394096</v>
      </c>
      <c r="AK7" s="31">
        <f t="shared" si="5"/>
        <v>-0.23653471612233876</v>
      </c>
    </row>
    <row r="8" spans="1:38" s="8" customFormat="1" ht="15.75" customHeight="1" x14ac:dyDescent="0.25">
      <c r="A8" s="8" t="s">
        <v>51</v>
      </c>
      <c r="B8" s="8" t="s">
        <v>52</v>
      </c>
      <c r="C8" s="8">
        <v>2014</v>
      </c>
      <c r="D8">
        <f>STANDARDIZE(Dataset!X8,'standardized values with PR'!$Y$3,'standardized values with PR'!$AA$3)</f>
        <v>-0.60230347833580677</v>
      </c>
      <c r="E8">
        <f>STANDARDIZE(Dataset!Y8,'standardized values with PR'!$Y$4,'standardized values with PR'!$AA$4)</f>
        <v>-0.63218500101954067</v>
      </c>
      <c r="F8">
        <f>STANDARDIZE(Dataset!Z8,'standardized values with PR'!$Y$5,'standardized values with PR'!$AA$5)</f>
        <v>-0.70353898765438727</v>
      </c>
      <c r="G8">
        <f>STANDARDIZE(Dataset!AA8,'standardized values with PR'!$Y$6,'standardized values with PR'!$AA$6)</f>
        <v>-0.99500320110434259</v>
      </c>
      <c r="H8">
        <f>STANDARDIZE(Dataset!AB8,'standardized values with PR'!$Y$7,'standardized values with PR'!$AA$7)</f>
        <v>-0.69299624448338226</v>
      </c>
      <c r="I8">
        <f>STANDARDIZE(Dataset!AC8,'standardized values with PR'!$Y$8,'standardized values with PR'!$AA$8)</f>
        <v>-1.3636916577721123</v>
      </c>
      <c r="J8">
        <f>STANDARDIZE(Dataset!AL8,'standardized values with PR'!$Y$14,'standardized values with PR'!$AA$14)</f>
        <v>-0.70505047008900135</v>
      </c>
      <c r="K8">
        <f>STANDARDIZE(Dataset!AM8,'standardized values with PR'!$Y$15,'standardized values with PR'!$AA$15)</f>
        <v>-0.78016316185774959</v>
      </c>
      <c r="L8">
        <f>STANDARDIZE(Dataset!AN8,'standardized values with PR'!$Y$16,'standardized values with PR'!$AA$16)</f>
        <v>-0.27522167011565113</v>
      </c>
      <c r="M8">
        <f>STANDARDIZE(Dataset!AO8,'standardized values with PR'!$Y$17,'standardized values with PR'!$AA$17)</f>
        <v>0.27013338023143729</v>
      </c>
      <c r="N8">
        <f>STANDARDIZE(Dataset!AP8,'standardized values with PR'!$Y$18,'standardized values with PR'!$AA$18)</f>
        <v>-0.1497346872299965</v>
      </c>
      <c r="O8">
        <f>STANDARDIZE(Dataset!AQ8,'standardized values with PR'!$Y$22,'standardized values with PR'!$AA$22)</f>
        <v>-0.22467190570587964</v>
      </c>
      <c r="P8">
        <f>STANDARDIZE(Dataset!AR8,'standardized values with PR'!$Y$23,'standardized values with PR'!$AA$23)</f>
        <v>-0.66646452470095285</v>
      </c>
      <c r="Q8">
        <f>STANDARDIZE(Dataset!AS8,'standardized values with PR'!$Y$24,'standardized values with PR'!$AA$24)</f>
        <v>-0.18464638611107892</v>
      </c>
      <c r="R8">
        <f>STANDARDIZE(Dataset!AD8,'standardized values with PR'!$Y$9,'standardized values with PR'!$AA$9)</f>
        <v>1.4180979026494165</v>
      </c>
      <c r="S8">
        <f>STANDARDIZE(Dataset!AE8,'standardized values with PR'!$Y$10,'standardized values with PR'!$AA$10)</f>
        <v>2.0297952439151929</v>
      </c>
      <c r="T8">
        <f>STANDARDIZE(Dataset!AF8,'standardized values with PR'!$Y$11,'standardized values with PR'!$AA$11)</f>
        <v>-4.2128685113058242E-2</v>
      </c>
      <c r="U8">
        <f>STANDARDIZE(Dataset!AG8,'standardized values with PR'!$Y$12,'standardized values with PR'!$AA$12)</f>
        <v>-0.37505455321151299</v>
      </c>
      <c r="V8">
        <f>STANDARDIZE(Dataset!AH8,'standardized values with PR'!$Y$13,'standardized values with PR'!$AA$13)</f>
        <v>-0.11803916474600994</v>
      </c>
      <c r="W8" s="8" t="s">
        <v>53</v>
      </c>
      <c r="X8" s="82">
        <v>51</v>
      </c>
      <c r="Y8" s="19">
        <f>AVERAGE(Dataset!$AC$2:$AC$51,Dataset!$AC$52)</f>
        <v>-3.1847449279823102E-2</v>
      </c>
      <c r="Z8" s="19">
        <f>MEDIAN(Dataset!$AC$2:$AC$51,Dataset!$AC$52)</f>
        <v>8.8318495693190668E-2</v>
      </c>
      <c r="AA8" s="19">
        <f>STDEV(Dataset!$AC$2:$AC$51,Dataset!$AC$52)</f>
        <v>0.62523858297516932</v>
      </c>
      <c r="AB8" s="19">
        <f>MAX(Dataset!$AC$2:$AC$51,Dataset!$AC$52)</f>
        <v>0.8509321684971628</v>
      </c>
      <c r="AC8" s="19">
        <f>MIN(Dataset!$AC$2:$AC$51,Dataset!$AC$52)</f>
        <v>-3.3187674956461524</v>
      </c>
      <c r="AE8" s="8" t="s">
        <v>52</v>
      </c>
      <c r="AF8" s="31">
        <f t="shared" si="0"/>
        <v>-1.9380274670097348</v>
      </c>
      <c r="AG8" s="31">
        <f>SUM(I8:K8)</f>
        <v>-2.8489052897188634</v>
      </c>
      <c r="AH8" s="31">
        <f>SUM(G8:H8)</f>
        <v>-1.687999445587725</v>
      </c>
      <c r="AI8" s="31">
        <f t="shared" si="3"/>
        <v>-0.15482297711421034</v>
      </c>
      <c r="AJ8" s="31">
        <f t="shared" si="4"/>
        <v>-1.0757828165179115</v>
      </c>
      <c r="AK8" s="31">
        <f t="shared" si="5"/>
        <v>-1.6770605277442094</v>
      </c>
    </row>
    <row r="9" spans="1:38" s="8" customFormat="1" ht="15.75" customHeight="1" x14ac:dyDescent="0.25">
      <c r="A9" s="8" t="s">
        <v>54</v>
      </c>
      <c r="B9" s="8" t="s">
        <v>55</v>
      </c>
      <c r="C9" s="8">
        <v>2014</v>
      </c>
      <c r="D9">
        <f>STANDARDIZE(Dataset!X9,'standardized values with PR'!$Y$3,'standardized values with PR'!$AA$3)</f>
        <v>-0.15650677579349376</v>
      </c>
      <c r="E9">
        <f>STANDARDIZE(Dataset!Y9,'standardized values with PR'!$Y$4,'standardized values with PR'!$AA$4)</f>
        <v>-8.7947768177505034E-2</v>
      </c>
      <c r="F9">
        <f>STANDARDIZE(Dataset!Z9,'standardized values with PR'!$Y$5,'standardized values with PR'!$AA$5)</f>
        <v>-9.3822104378599905E-2</v>
      </c>
      <c r="G9">
        <f>STANDARDIZE(Dataset!AA9,'standardized values with PR'!$Y$6,'standardized values with PR'!$AA$6)</f>
        <v>-0.67093182786647754</v>
      </c>
      <c r="H9">
        <f>STANDARDIZE(Dataset!AB9,'standardized values with PR'!$Y$7,'standardized values with PR'!$AA$7)</f>
        <v>-0.46742178872292506</v>
      </c>
      <c r="I9">
        <f>STANDARDIZE(Dataset!AC9,'standardized values with PR'!$Y$8,'standardized values with PR'!$AA$8)</f>
        <v>-3.8718849781683887E-3</v>
      </c>
      <c r="J9">
        <f>STANDARDIZE(Dataset!AL9,'standardized values with PR'!$Y$14,'standardized values with PR'!$AA$14)</f>
        <v>-0.52273687112014067</v>
      </c>
      <c r="K9">
        <f>STANDARDIZE(Dataset!AM9,'standardized values with PR'!$Y$15,'standardized values with PR'!$AA$15)</f>
        <v>-0.70837591349712969</v>
      </c>
      <c r="L9">
        <f>STANDARDIZE(Dataset!AN9,'standardized values with PR'!$Y$16,'standardized values with PR'!$AA$16)</f>
        <v>-1.2147477650017986</v>
      </c>
      <c r="M9">
        <f>STANDARDIZE(Dataset!AO9,'standardized values with PR'!$Y$17,'standardized values with PR'!$AA$17)</f>
        <v>-1.0668117943077722</v>
      </c>
      <c r="N9">
        <f>STANDARDIZE(Dataset!AP9,'standardized values with PR'!$Y$18,'standardized values with PR'!$AA$18)</f>
        <v>-1.2886376897710297</v>
      </c>
      <c r="O9">
        <f>STANDARDIZE(Dataset!AQ9,'standardized values with PR'!$Y$22,'standardized values with PR'!$AA$22)</f>
        <v>-0.21878234062032098</v>
      </c>
      <c r="P9">
        <f>STANDARDIZE(Dataset!AR9,'standardized values with PR'!$Y$23,'standardized values with PR'!$AA$23)</f>
        <v>1.1613956705962791</v>
      </c>
      <c r="Q9">
        <f>STANDARDIZE(Dataset!AS9,'standardized values with PR'!$Y$24,'standardized values with PR'!$AA$24)</f>
        <v>-0.18548886966311856</v>
      </c>
      <c r="R9">
        <f>STANDARDIZE(Dataset!AD9,'standardized values with PR'!$Y$9,'standardized values with PR'!$AA$9)</f>
        <v>7.2238351271091863E-2</v>
      </c>
      <c r="S9">
        <f>STANDARDIZE(Dataset!AE9,'standardized values with PR'!$Y$10,'standardized values with PR'!$AA$10)</f>
        <v>1.0666282074971118</v>
      </c>
      <c r="T9">
        <f>STANDARDIZE(Dataset!AF9,'standardized values with PR'!$Y$11,'standardized values with PR'!$AA$11)</f>
        <v>1.1219000866544215</v>
      </c>
      <c r="U9">
        <f>STANDARDIZE(Dataset!AG9,'standardized values with PR'!$Y$12,'standardized values with PR'!$AA$12)</f>
        <v>0.64554161315419978</v>
      </c>
      <c r="V9">
        <f>STANDARDIZE(Dataset!AH9,'standardized values with PR'!$Y$13,'standardized values with PR'!$AA$13)</f>
        <v>1.0890373950511496</v>
      </c>
      <c r="W9" s="20" t="s">
        <v>56</v>
      </c>
      <c r="X9" s="81">
        <v>51</v>
      </c>
      <c r="Y9" s="21">
        <f>AVERAGE(Dataset!$AD$2:$AD$51,Dataset!$AD$52)</f>
        <v>0.46998433750413621</v>
      </c>
      <c r="Z9" s="21">
        <f>MEDIAN(Dataset!$AD$2:$AD$51,Dataset!$AD$52)</f>
        <v>0.28364523631811189</v>
      </c>
      <c r="AA9" s="21">
        <f>STDEV(Dataset!$AD$2:$AD$51,Dataset!$AD$52)</f>
        <v>0.61413421229266996</v>
      </c>
      <c r="AB9" s="21">
        <f>MAX(Dataset!$AD$2:$AD$51,Dataset!$AD$52)</f>
        <v>3.7071435237482637</v>
      </c>
      <c r="AC9" s="21">
        <f>MIN(Dataset!$AD$2:$AD$51,Dataset!$AD$52)</f>
        <v>2.950604200694467E-2</v>
      </c>
      <c r="AE9" s="8" t="s">
        <v>55</v>
      </c>
      <c r="AF9" s="31">
        <f t="shared" si="0"/>
        <v>-0.3382766483495987</v>
      </c>
      <c r="AG9" s="31">
        <f t="shared" si="1"/>
        <v>-1.2349846695954387</v>
      </c>
      <c r="AH9" s="31">
        <f t="shared" si="2"/>
        <v>-1.1383536165894026</v>
      </c>
      <c r="AI9" s="31">
        <f t="shared" si="3"/>
        <v>-3.5701972490806004</v>
      </c>
      <c r="AJ9" s="31">
        <f t="shared" si="4"/>
        <v>0.75712446031283953</v>
      </c>
      <c r="AK9" s="31">
        <f t="shared" si="5"/>
        <v>-0.92162633856497056</v>
      </c>
    </row>
    <row r="10" spans="1:38" s="8" customFormat="1" ht="15.75" customHeight="1" x14ac:dyDescent="0.25">
      <c r="A10" s="8" t="s">
        <v>57</v>
      </c>
      <c r="B10" s="8" t="s">
        <v>58</v>
      </c>
      <c r="C10" s="8">
        <v>2014</v>
      </c>
      <c r="D10">
        <f>STANDARDIZE(Dataset!X10,'standardized values with PR'!$Y$3,'standardized values with PR'!$AA$3)</f>
        <v>1.2798662399348235</v>
      </c>
      <c r="E10">
        <f>STANDARDIZE(Dataset!Y10,'standardized values with PR'!$Y$4,'standardized values with PR'!$AA$4)</f>
        <v>1.3245175847948776</v>
      </c>
      <c r="F10">
        <f>STANDARDIZE(Dataset!Z10,'standardized values with PR'!$Y$5,'standardized values with PR'!$AA$5)</f>
        <v>1.1912913236301717</v>
      </c>
      <c r="G10">
        <f>STANDARDIZE(Dataset!AA10,'standardized values with PR'!$Y$6,'standardized values with PR'!$AA$6)</f>
        <v>0.50165595591986578</v>
      </c>
      <c r="H10">
        <f>STANDARDIZE(Dataset!AB10,'standardized values with PR'!$Y$7,'standardized values with PR'!$AA$7)</f>
        <v>-5.9882570802897847E-3</v>
      </c>
      <c r="I10">
        <f>STANDARDIZE(Dataset!AC10,'standardized values with PR'!$Y$8,'standardized values with PR'!$AA$8)</f>
        <v>0.22425657880078401</v>
      </c>
      <c r="J10">
        <f>STANDARDIZE(Dataset!AL10,'standardized values with PR'!$Y$14,'standardized values with PR'!$AA$14)</f>
        <v>-0.37229140303022829</v>
      </c>
      <c r="K10">
        <f>STANDARDIZE(Dataset!AM10,'standardized values with PR'!$Y$15,'standardized values with PR'!$AA$15)</f>
        <v>-0.33149561619868245</v>
      </c>
      <c r="L10">
        <f>STANDARDIZE(Dataset!AN10,'standardized values with PR'!$Y$16,'standardized values with PR'!$AA$16)</f>
        <v>1.3599789234978774</v>
      </c>
      <c r="M10">
        <f>STANDARDIZE(Dataset!AO10,'standardized values with PR'!$Y$17,'standardized values with PR'!$AA$17)</f>
        <v>1.2014495815826087</v>
      </c>
      <c r="N10">
        <f>STANDARDIZE(Dataset!AP10,'standardized values with PR'!$Y$18,'standardized values with PR'!$AA$18)</f>
        <v>1.5945962085066501</v>
      </c>
      <c r="O10">
        <f>STANDARDIZE(Dataset!AQ10,'standardized values with PR'!$Y$22,'standardized values with PR'!$AA$22)</f>
        <v>-0.18749881627080006</v>
      </c>
      <c r="P10">
        <f>STANDARDIZE(Dataset!AR10,'standardized values with PR'!$Y$23,'standardized values with PR'!$AA$23)</f>
        <v>1.0382306361828062</v>
      </c>
      <c r="Q10">
        <f>STANDARDIZE(Dataset!AS10,'standardized values with PR'!$Y$24,'standardized values with PR'!$AA$24)</f>
        <v>-0.17598230868453849</v>
      </c>
      <c r="R10">
        <f>STANDARDIZE(Dataset!AD10,'standardized values with PR'!$Y$9,'standardized values with PR'!$AA$9)</f>
        <v>-0.21014074169512773</v>
      </c>
      <c r="S10">
        <f>STANDARDIZE(Dataset!AE10,'standardized values with PR'!$Y$10,'standardized values with PR'!$AA$10)</f>
        <v>-0.24266952709957129</v>
      </c>
      <c r="T10">
        <f>STANDARDIZE(Dataset!AF10,'standardized values with PR'!$Y$11,'standardized values with PR'!$AA$11)</f>
        <v>-0.94259647975409933</v>
      </c>
      <c r="U10">
        <f>STANDARDIZE(Dataset!AG10,'standardized values with PR'!$Y$12,'standardized values with PR'!$AA$12)</f>
        <v>-0.76151354506212554</v>
      </c>
      <c r="V10">
        <f>STANDARDIZE(Dataset!AH10,'standardized values with PR'!$Y$13,'standardized values with PR'!$AA$13)</f>
        <v>-0.99709785291685393</v>
      </c>
      <c r="W10" s="9" t="s">
        <v>59</v>
      </c>
      <c r="X10" s="81">
        <v>51</v>
      </c>
      <c r="Y10" s="22">
        <f>AVERAGE(Dataset!$AE$2:$AE$51,Dataset!$AE$52)</f>
        <v>3068.7897150944823</v>
      </c>
      <c r="Z10" s="22">
        <f>MEDIAN(Dataset!$AE$2:$AE$51,Dataset!$AE$52)</f>
        <v>2071.5765851621686</v>
      </c>
      <c r="AA10" s="22">
        <f>STDEV(Dataset!$AE$2:$AE$51,Dataset!$AE$52)</f>
        <v>2960.2521359660714</v>
      </c>
      <c r="AB10" s="22">
        <f>MAX(Dataset!$AE$2:$AE$51,Dataset!$AE$52)</f>
        <v>16646.437250397856</v>
      </c>
      <c r="AC10" s="22">
        <f>MIN(Dataset!$AE$2:$AE$51,Dataset!$AE$52)</f>
        <v>228.6746287409587</v>
      </c>
      <c r="AE10" s="8" t="s">
        <v>58</v>
      </c>
      <c r="AF10" s="31">
        <f t="shared" si="0"/>
        <v>3.7956751483598725</v>
      </c>
      <c r="AG10" s="31">
        <f t="shared" si="1"/>
        <v>-0.47953044042812676</v>
      </c>
      <c r="AH10" s="31">
        <f t="shared" si="2"/>
        <v>0.49566769883957601</v>
      </c>
      <c r="AI10" s="31">
        <f t="shared" si="3"/>
        <v>4.1560247135871364</v>
      </c>
      <c r="AJ10" s="31">
        <f t="shared" si="4"/>
        <v>0.67474951122746774</v>
      </c>
      <c r="AK10" s="31">
        <f t="shared" si="5"/>
        <v>1.9370943749584548</v>
      </c>
    </row>
    <row r="11" spans="1:38" s="8" customFormat="1" ht="15.75" customHeight="1" x14ac:dyDescent="0.25">
      <c r="A11" s="8" t="s">
        <v>60</v>
      </c>
      <c r="B11" s="8" t="s">
        <v>61</v>
      </c>
      <c r="C11" s="8">
        <v>2014</v>
      </c>
      <c r="D11">
        <f>STANDARDIZE(Dataset!X11,'standardized values with PR'!$Y$3,'standardized values with PR'!$AA$3)</f>
        <v>-0.23679228329765706</v>
      </c>
      <c r="E11">
        <f>STANDARDIZE(Dataset!Y11,'standardized values with PR'!$Y$4,'standardized values with PR'!$AA$4)</f>
        <v>-0.22523237751004549</v>
      </c>
      <c r="F11">
        <f>STANDARDIZE(Dataset!Z11,'standardized values with PR'!$Y$5,'standardized values with PR'!$AA$5)</f>
        <v>-0.30560920438829708</v>
      </c>
      <c r="G11">
        <f>STANDARDIZE(Dataset!AA11,'standardized values with PR'!$Y$6,'standardized values with PR'!$AA$6)</f>
        <v>-0.20237465755184048</v>
      </c>
      <c r="H11">
        <f>STANDARDIZE(Dataset!AB11,'standardized values with PR'!$Y$7,'standardized values with PR'!$AA$7)</f>
        <v>-0.21702843738558025</v>
      </c>
      <c r="I11">
        <f>STANDARDIZE(Dataset!AC11,'standardized values with PR'!$Y$8,'standardized values with PR'!$AA$8)</f>
        <v>0.14224265775565043</v>
      </c>
      <c r="J11">
        <f>STANDARDIZE(Dataset!AL11,'standardized values with PR'!$Y$14,'standardized values with PR'!$AA$14)</f>
        <v>-0.41938176939546767</v>
      </c>
      <c r="K11">
        <f>STANDARDIZE(Dataset!AM11,'standardized values with PR'!$Y$15,'standardized values with PR'!$AA$15)</f>
        <v>-9.5148947784201576E-2</v>
      </c>
      <c r="L11">
        <f>STANDARDIZE(Dataset!AN11,'standardized values with PR'!$Y$16,'standardized values with PR'!$AA$16)</f>
        <v>1.0016969827461808</v>
      </c>
      <c r="M11">
        <f>STANDARDIZE(Dataset!AO11,'standardized values with PR'!$Y$17,'standardized values with PR'!$AA$17)</f>
        <v>0.3582498520336424</v>
      </c>
      <c r="N11">
        <f>STANDARDIZE(Dataset!AP11,'standardized values with PR'!$Y$18,'standardized values with PR'!$AA$18)</f>
        <v>0.31864082025917245</v>
      </c>
      <c r="O11">
        <f>STANDARDIZE(Dataset!AQ11,'standardized values with PR'!$Y$22,'standardized values with PR'!$AA$22)</f>
        <v>-0.19559417361923009</v>
      </c>
      <c r="P11">
        <f>STANDARDIZE(Dataset!AR11,'standardized values with PR'!$Y$23,'standardized values with PR'!$AA$23)</f>
        <v>0.26651371269323876</v>
      </c>
      <c r="Q11">
        <f>STANDARDIZE(Dataset!AS11,'standardized values with PR'!$Y$24,'standardized values with PR'!$AA$24)</f>
        <v>-0.18003175771750929</v>
      </c>
      <c r="R11">
        <f>STANDARDIZE(Dataset!AD11,'standardized values with PR'!$Y$9,'standardized values with PR'!$AA$9)</f>
        <v>-0.14464259247962147</v>
      </c>
      <c r="S11">
        <f>STANDARDIZE(Dataset!AE11,'standardized values with PR'!$Y$10,'standardized values with PR'!$AA$10)</f>
        <v>-0.46560027397240655</v>
      </c>
      <c r="T11">
        <f>STANDARDIZE(Dataset!AF11,'standardized values with PR'!$Y$11,'standardized values with PR'!$AA$11)</f>
        <v>-0.80421067405060687</v>
      </c>
      <c r="U11">
        <f>STANDARDIZE(Dataset!AG11,'standardized values with PR'!$Y$12,'standardized values with PR'!$AA$12)</f>
        <v>-0.41909091304330814</v>
      </c>
      <c r="V11">
        <f>STANDARDIZE(Dataset!AH11,'standardized values with PR'!$Y$13,'standardized values with PR'!$AA$13)</f>
        <v>-0.42542863525413988</v>
      </c>
      <c r="W11" s="55" t="s">
        <v>201</v>
      </c>
      <c r="X11" s="81">
        <v>51</v>
      </c>
      <c r="Y11" s="22">
        <f>AVERAGE(Dataset!$AF$2:$AF$51,Dataset!$AF$52)</f>
        <v>6.2274618026142058E-2</v>
      </c>
      <c r="Z11" s="22">
        <f>MEDIAN(Dataset!$AF$2:$AF$51,Dataset!$AF$52)</f>
        <v>5.8099613096567936E-2</v>
      </c>
      <c r="AA11" s="22">
        <f>STDEV(Dataset!$AF$2:$AF$51,Dataset!$AF$52)</f>
        <v>2.4003813664156607E-2</v>
      </c>
      <c r="AB11" s="22">
        <f>MAX(Dataset!$AF$2:$AF$51,Dataset!$AF$52)</f>
        <v>0.16305216450555826</v>
      </c>
      <c r="AC11" s="22">
        <f>MIN(Dataset!$AF$2:$AF$51,Dataset!$AF$52)</f>
        <v>2.6619101261950131E-2</v>
      </c>
      <c r="AE11" s="8" t="s">
        <v>61</v>
      </c>
      <c r="AF11" s="31">
        <f t="shared" si="0"/>
        <v>-0.76763386519599963</v>
      </c>
      <c r="AG11" s="31">
        <f t="shared" si="1"/>
        <v>-0.37228805942401882</v>
      </c>
      <c r="AH11" s="31">
        <f t="shared" si="2"/>
        <v>-0.41940309493742073</v>
      </c>
      <c r="AI11" s="31">
        <f t="shared" si="3"/>
        <v>1.6785876550389955</v>
      </c>
      <c r="AJ11" s="31">
        <f t="shared" si="4"/>
        <v>-0.10911221864350062</v>
      </c>
      <c r="AK11" s="31">
        <f t="shared" si="5"/>
        <v>-0.29574419834954951</v>
      </c>
    </row>
    <row r="12" spans="1:38" s="8" customFormat="1" ht="15.75" customHeight="1" x14ac:dyDescent="0.25">
      <c r="A12" s="8" t="s">
        <v>62</v>
      </c>
      <c r="B12" s="8" t="s">
        <v>63</v>
      </c>
      <c r="C12" s="8">
        <v>2014</v>
      </c>
      <c r="D12">
        <f>STANDARDIZE(Dataset!X12,'standardized values with PR'!$Y$3,'standardized values with PR'!$AA$3)</f>
        <v>-0.14718515914245278</v>
      </c>
      <c r="E12">
        <f>STANDARDIZE(Dataset!Y12,'standardized values with PR'!$Y$4,'standardized values with PR'!$AA$4)</f>
        <v>-0.18087885311243834</v>
      </c>
      <c r="F12">
        <f>STANDARDIZE(Dataset!Z12,'standardized values with PR'!$Y$5,'standardized values with PR'!$AA$5)</f>
        <v>-0.24167001813213906</v>
      </c>
      <c r="G12">
        <f>STANDARDIZE(Dataset!AA12,'standardized values with PR'!$Y$6,'standardized values with PR'!$AA$6)</f>
        <v>-0.5769755272246323</v>
      </c>
      <c r="H12">
        <f>STANDARDIZE(Dataset!AB12,'standardized values with PR'!$Y$7,'standardized values with PR'!$AA$7)</f>
        <v>-0.38616190950249007</v>
      </c>
      <c r="I12">
        <f>STANDARDIZE(Dataset!AC12,'standardized values with PR'!$Y$8,'standardized values with PR'!$AA$8)</f>
        <v>7.2448093043351008E-2</v>
      </c>
      <c r="J12">
        <f>STANDARDIZE(Dataset!AL12,'standardized values with PR'!$Y$14,'standardized values with PR'!$AA$14)</f>
        <v>-0.5806902919203889</v>
      </c>
      <c r="K12">
        <f>STANDARDIZE(Dataset!AM12,'standardized values with PR'!$Y$15,'standardized values with PR'!$AA$15)</f>
        <v>-0.76296029421004885</v>
      </c>
      <c r="L12">
        <f>STANDARDIZE(Dataset!AN12,'standardized values with PR'!$Y$16,'standardized values with PR'!$AA$16)</f>
        <v>-1.167474872623762</v>
      </c>
      <c r="M12">
        <f>STANDARDIZE(Dataset!AO12,'standardized values with PR'!$Y$17,'standardized values with PR'!$AA$17)</f>
        <v>-0.62708644343463837</v>
      </c>
      <c r="N12">
        <f>STANDARDIZE(Dataset!AP12,'standardized values with PR'!$Y$18,'standardized values with PR'!$AA$18)</f>
        <v>-0.8283109713734198</v>
      </c>
      <c r="O12">
        <f>STANDARDIZE(Dataset!AQ12,'standardized values with PR'!$Y$22,'standardized values with PR'!$AA$22)</f>
        <v>-0.22979494627028471</v>
      </c>
      <c r="P12">
        <f>STANDARDIZE(Dataset!AR12,'standardized values with PR'!$Y$23,'standardized values with PR'!$AA$23)</f>
        <v>-1.0357284657448715</v>
      </c>
      <c r="Q12">
        <f>STANDARDIZE(Dataset!AS12,'standardized values with PR'!$Y$24,'standardized values with PR'!$AA$24)</f>
        <v>-0.18584928413831173</v>
      </c>
      <c r="R12">
        <f>STANDARDIZE(Dataset!AD12,'standardized values with PR'!$Y$9,'standardized values with PR'!$AA$9)</f>
        <v>0.27633622153605703</v>
      </c>
      <c r="S12">
        <f>STANDARDIZE(Dataset!AE12,'standardized values with PR'!$Y$10,'standardized values with PR'!$AA$10)</f>
        <v>1.72656509200129</v>
      </c>
      <c r="T12">
        <f>STANDARDIZE(Dataset!AF12,'standardized values with PR'!$Y$11,'standardized values with PR'!$AA$11)</f>
        <v>1.0385320964198188</v>
      </c>
      <c r="U12">
        <f>STANDARDIZE(Dataset!AG12,'standardized values with PR'!$Y$12,'standardized values with PR'!$AA$12)</f>
        <v>0.21398437374166215</v>
      </c>
      <c r="V12">
        <f>STANDARDIZE(Dataset!AH12,'standardized values with PR'!$Y$13,'standardized values with PR'!$AA$13)</f>
        <v>0.49346086399431016</v>
      </c>
      <c r="W12" s="55" t="s">
        <v>202</v>
      </c>
      <c r="X12" s="81">
        <v>51</v>
      </c>
      <c r="Y12" s="22">
        <f>AVERAGE(Dataset!$AG$2:$AG$51,Dataset!$AG$52)</f>
        <v>0.14327198028225463</v>
      </c>
      <c r="Z12" s="22">
        <f>MEDIAN(Dataset!$AG$2:$AG$51,Dataset!$AG$52)</f>
        <v>0.12845818646179558</v>
      </c>
      <c r="AA12" s="22">
        <f>STDEV(Dataset!$AG$2:$AG$51,Dataset!$AG$52)</f>
        <v>5.878338540385715E-2</v>
      </c>
      <c r="AB12" s="22">
        <f>MAX(Dataset!$AG$2:$AG$51,Dataset!$AG$52)</f>
        <v>0.43176277247941425</v>
      </c>
      <c r="AC12" s="22">
        <f>MIN(Dataset!$AG$2:$AG$51,Dataset!$AG$52)</f>
        <v>7.8064903939151511E-2</v>
      </c>
      <c r="AE12" s="8" t="s">
        <v>63</v>
      </c>
      <c r="AF12" s="31">
        <f t="shared" si="0"/>
        <v>-0.56973403038703019</v>
      </c>
      <c r="AG12" s="31">
        <f t="shared" si="1"/>
        <v>-1.2712024930870869</v>
      </c>
      <c r="AH12" s="31">
        <f t="shared" si="2"/>
        <v>-0.96313743672712238</v>
      </c>
      <c r="AI12" s="31">
        <f t="shared" si="3"/>
        <v>-2.6228722874318202</v>
      </c>
      <c r="AJ12" s="31">
        <f t="shared" si="4"/>
        <v>-1.4513726961534679</v>
      </c>
      <c r="AK12" s="31">
        <f t="shared" si="5"/>
        <v>-1.071049761157191</v>
      </c>
    </row>
    <row r="13" spans="1:38" s="8" customFormat="1" ht="15.75" customHeight="1" x14ac:dyDescent="0.25">
      <c r="A13" s="8" t="s">
        <v>64</v>
      </c>
      <c r="B13" s="8" t="s">
        <v>65</v>
      </c>
      <c r="C13" s="8">
        <v>2014</v>
      </c>
      <c r="D13">
        <f>STANDARDIZE(Dataset!X13,'standardized values with PR'!$Y$3,'standardized values with PR'!$AA$3)</f>
        <v>8.6256998350863381E-2</v>
      </c>
      <c r="E13">
        <f>STANDARDIZE(Dataset!Y13,'standardized values with PR'!$Y$4,'standardized values with PR'!$AA$4)</f>
        <v>1.720183601374551E-2</v>
      </c>
      <c r="F13">
        <f>STANDARDIZE(Dataset!Z13,'standardized values with PR'!$Y$5,'standardized values with PR'!$AA$5)</f>
        <v>0.16117375684663246</v>
      </c>
      <c r="G13">
        <f>STANDARDIZE(Dataset!AA13,'standardized values with PR'!$Y$6,'standardized values with PR'!$AA$6)</f>
        <v>0.57283691468424824</v>
      </c>
      <c r="H13">
        <f>STANDARDIZE(Dataset!AB13,'standardized values with PR'!$Y$7,'standardized values with PR'!$AA$7)</f>
        <v>0.10848596716587802</v>
      </c>
      <c r="I13">
        <f>STANDARDIZE(Dataset!AC13,'standardized values with PR'!$Y$8,'standardized values with PR'!$AA$8)</f>
        <v>0.61587464987597496</v>
      </c>
      <c r="J13">
        <f>STANDARDIZE(Dataset!AL13,'standardized values with PR'!$Y$14,'standardized values with PR'!$AA$14)</f>
        <v>0.58839412024505977</v>
      </c>
      <c r="K13">
        <f>STANDARDIZE(Dataset!AM13,'standardized values with PR'!$Y$15,'standardized values with PR'!$AA$15)</f>
        <v>0.55045554608879532</v>
      </c>
      <c r="L13">
        <f>STANDARDIZE(Dataset!AN13,'standardized values with PR'!$Y$16,'standardized values with PR'!$AA$16)</f>
        <v>-0.22389557366302695</v>
      </c>
      <c r="M13">
        <f>STANDARDIZE(Dataset!AO13,'standardized values with PR'!$Y$17,'standardized values with PR'!$AA$17)</f>
        <v>-0.40485814322393193</v>
      </c>
      <c r="N13">
        <f>STANDARDIZE(Dataset!AP13,'standardized values with PR'!$Y$18,'standardized values with PR'!$AA$18)</f>
        <v>-0.1538505235194301</v>
      </c>
      <c r="O13">
        <f>STANDARDIZE(Dataset!AQ13,'standardized values with PR'!$Y$22,'standardized values with PR'!$AA$22)</f>
        <v>-0.16283929139092854</v>
      </c>
      <c r="P13">
        <f>STANDARDIZE(Dataset!AR13,'standardized values with PR'!$Y$23,'standardized values with PR'!$AA$23)</f>
        <v>0.38486848112443323</v>
      </c>
      <c r="Q13">
        <f>STANDARDIZE(Dataset!AS13,'standardized values with PR'!$Y$24,'standardized values with PR'!$AA$24)</f>
        <v>-7.6039633388979316E-2</v>
      </c>
      <c r="R13">
        <f>STANDARDIZE(Dataset!AD13,'standardized values with PR'!$Y$9,'standardized values with PR'!$AA$9)</f>
        <v>-0.58921172034296443</v>
      </c>
      <c r="S13">
        <f>STANDARDIZE(Dataset!AE13,'standardized values with PR'!$Y$10,'standardized values with PR'!$AA$10)</f>
        <v>-0.71347327332931731</v>
      </c>
      <c r="T13">
        <f>STANDARDIZE(Dataset!AF13,'standardized values with PR'!$Y$11,'standardized values with PR'!$AA$11)</f>
        <v>-8.5066375766672045E-2</v>
      </c>
      <c r="U13">
        <f>STANDARDIZE(Dataset!AG13,'standardized values with PR'!$Y$12,'standardized values with PR'!$AA$12)</f>
        <v>3.8808506211688049E-2</v>
      </c>
      <c r="V13">
        <f>STANDARDIZE(Dataset!AH13,'standardized values with PR'!$Y$13,'standardized values with PR'!$AA$13)</f>
        <v>-0.11499751524500371</v>
      </c>
      <c r="W13" s="56" t="s">
        <v>203</v>
      </c>
      <c r="X13" s="82">
        <v>51</v>
      </c>
      <c r="Y13" s="24">
        <f>AVERAGE(Dataset!$AH$2:$AH$51,Dataset!$AH$52)</f>
        <v>0.13464928301726439</v>
      </c>
      <c r="Z13" s="24">
        <f>MEDIAN(Dataset!$AH$2:$AH$51,Dataset!$AH$52)</f>
        <v>0.12738949929723317</v>
      </c>
      <c r="AA13" s="24">
        <f>STDEV(Dataset!$AH$2:$AH$51,Dataset!$AH$52)</f>
        <v>4.6619486674666179E-2</v>
      </c>
      <c r="AB13" s="24">
        <f>MAX(Dataset!$AH$2:$AH$51,Dataset!$AH$52)</f>
        <v>0.34376518916884868</v>
      </c>
      <c r="AC13" s="24">
        <f>MIN(Dataset!$AH$2:$AH$51,Dataset!$AH$52)</f>
        <v>7.3843599910259919E-2</v>
      </c>
      <c r="AE13" s="8" t="s">
        <v>65</v>
      </c>
      <c r="AF13" s="31">
        <f t="shared" si="0"/>
        <v>0.26463259121124139</v>
      </c>
      <c r="AG13" s="31">
        <f t="shared" si="1"/>
        <v>1.7547243162098303</v>
      </c>
      <c r="AH13" s="31">
        <f t="shared" si="2"/>
        <v>0.68132288185012624</v>
      </c>
      <c r="AI13" s="31">
        <f t="shared" si="3"/>
        <v>-0.78260424040638898</v>
      </c>
      <c r="AJ13" s="31">
        <f t="shared" si="4"/>
        <v>0.14598955634452537</v>
      </c>
      <c r="AK13" s="31">
        <f t="shared" si="5"/>
        <v>0.44289537878627522</v>
      </c>
    </row>
    <row r="14" spans="1:38" s="8" customFormat="1" ht="15.75" customHeight="1" x14ac:dyDescent="0.25">
      <c r="A14" s="8" t="s">
        <v>66</v>
      </c>
      <c r="B14" s="8" t="s">
        <v>67</v>
      </c>
      <c r="C14" s="8">
        <v>2014</v>
      </c>
      <c r="D14">
        <f>STANDARDIZE(Dataset!X14,'standardized values with PR'!$Y$3,'standardized values with PR'!$AA$3)</f>
        <v>-0.55069752685543383</v>
      </c>
      <c r="E14">
        <f>STANDARDIZE(Dataset!Y14,'standardized values with PR'!$Y$4,'standardized values with PR'!$AA$4)</f>
        <v>-0.67181053304920368</v>
      </c>
      <c r="F14">
        <f>STANDARDIZE(Dataset!Z14,'standardized values with PR'!$Y$5,'standardized values with PR'!$AA$5)</f>
        <v>-0.64380165999422745</v>
      </c>
      <c r="G14">
        <f>STANDARDIZE(Dataset!AA14,'standardized values with PR'!$Y$6,'standardized values with PR'!$AA$6)</f>
        <v>-0.54129131238677253</v>
      </c>
      <c r="H14">
        <f>STANDARDIZE(Dataset!AB14,'standardized values with PR'!$Y$7,'standardized values with PR'!$AA$7)</f>
        <v>-0.3551565581484657</v>
      </c>
      <c r="I14">
        <f>STANDARDIZE(Dataset!AC14,'standardized values with PR'!$Y$8,'standardized values with PR'!$AA$8)</f>
        <v>-1.7753606694376598</v>
      </c>
      <c r="J14">
        <f>STANDARDIZE(Dataset!AL14,'standardized values with PR'!$Y$14,'standardized values with PR'!$AA$14)</f>
        <v>-0.71562753563674275</v>
      </c>
      <c r="K14">
        <f>STANDARDIZE(Dataset!AM14,'standardized values with PR'!$Y$15,'standardized values with PR'!$AA$15)</f>
        <v>-0.702356411067243</v>
      </c>
      <c r="L14">
        <f>STANDARDIZE(Dataset!AN14,'standardized values with PR'!$Y$16,'standardized values with PR'!$AA$16)</f>
        <v>-0.369834237008559</v>
      </c>
      <c r="M14">
        <f>STANDARDIZE(Dataset!AO14,'standardized values with PR'!$Y$17,'standardized values with PR'!$AA$17)</f>
        <v>0.40994566473123872</v>
      </c>
      <c r="N14">
        <f>STANDARDIZE(Dataset!AP14,'standardized values with PR'!$Y$18,'standardized values with PR'!$AA$18)</f>
        <v>0.20419143410183702</v>
      </c>
      <c r="O14">
        <f>STANDARDIZE(Dataset!AQ14,'standardized values with PR'!$Y$22,'standardized values with PR'!$AA$22)</f>
        <v>-0.21341946005763388</v>
      </c>
      <c r="P14">
        <f>STANDARDIZE(Dataset!AR14,'standardized values with PR'!$Y$23,'standardized values with PR'!$AA$23)</f>
        <v>-1.1864233906078576</v>
      </c>
      <c r="Q14">
        <f>STANDARDIZE(Dataset!AS14,'standardized values with PR'!$Y$24,'standardized values with PR'!$AA$24)</f>
        <v>-0.18349272968242464</v>
      </c>
      <c r="R14">
        <f>STANDARDIZE(Dataset!AD14,'standardized values with PR'!$Y$9,'standardized values with PR'!$AA$9)</f>
        <v>1.6425806968177796</v>
      </c>
      <c r="S14">
        <f>STANDARDIZE(Dataset!AE14,'standardized values with PR'!$Y$10,'standardized values with PR'!$AA$10)</f>
        <v>1.0126538970521173</v>
      </c>
      <c r="T14">
        <f>STANDARDIZE(Dataset!AF14,'standardized values with PR'!$Y$11,'standardized values with PR'!$AA$11)</f>
        <v>4.0997390920168325E-2</v>
      </c>
      <c r="U14">
        <f>STANDARDIZE(Dataset!AG14,'standardized values with PR'!$Y$12,'standardized values with PR'!$AA$12)</f>
        <v>-0.44406148564497699</v>
      </c>
      <c r="V14">
        <f>STANDARDIZE(Dataset!AH14,'standardized values with PR'!$Y$13,'standardized values with PR'!$AA$13)</f>
        <v>-0.35679031539643319</v>
      </c>
      <c r="W14" s="20" t="s">
        <v>68</v>
      </c>
      <c r="X14" s="81">
        <v>51</v>
      </c>
      <c r="Y14" s="25">
        <f>AVERAGE(Dataset!$AL$2:$AL$51,Dataset!$AL$52)</f>
        <v>5.3804010892568277</v>
      </c>
      <c r="Z14" s="25">
        <f>MEDIAN(Dataset!$AL$2:$AL$51,Dataset!$AL$52)</f>
        <v>3.5255307403734668</v>
      </c>
      <c r="AA14" s="25">
        <f>STDEV(Dataset!$AL$2:$AL$51,Dataset!$AL$52)</f>
        <v>6.5734669545587998</v>
      </c>
      <c r="AB14" s="25">
        <f>MAX(Dataset!$AL$2:$AL$51,Dataset!$AL$52)</f>
        <v>33.89136366594461</v>
      </c>
      <c r="AC14" s="25">
        <f>MIN(Dataset!$AL$2:$AL$51,Dataset!$AL$52)</f>
        <v>0.26974946979902947</v>
      </c>
      <c r="AE14" s="8" t="s">
        <v>67</v>
      </c>
      <c r="AF14" s="31">
        <f t="shared" si="0"/>
        <v>-1.8663097198988652</v>
      </c>
      <c r="AG14" s="31">
        <f t="shared" si="1"/>
        <v>-3.1933446161416454</v>
      </c>
      <c r="AH14" s="31">
        <f t="shared" si="2"/>
        <v>-0.89644787053523822</v>
      </c>
      <c r="AI14" s="31">
        <f t="shared" si="3"/>
        <v>0.24430286182451674</v>
      </c>
      <c r="AJ14" s="31">
        <f t="shared" si="4"/>
        <v>-1.5833355803479161</v>
      </c>
      <c r="AK14" s="31">
        <f t="shared" si="5"/>
        <v>-1.4202028901184405</v>
      </c>
    </row>
    <row r="15" spans="1:38" s="8" customFormat="1" ht="15.75" customHeight="1" x14ac:dyDescent="0.25">
      <c r="A15" s="8" t="s">
        <v>69</v>
      </c>
      <c r="B15" s="8" t="s">
        <v>70</v>
      </c>
      <c r="C15" s="8">
        <v>2014</v>
      </c>
      <c r="D15">
        <f>STANDARDIZE(Dataset!X15,'standardized values with PR'!$Y$3,'standardized values with PR'!$AA$3)</f>
        <v>-0.3079818269082833</v>
      </c>
      <c r="E15">
        <f>STANDARDIZE(Dataset!Y15,'standardized values with PR'!$Y$4,'standardized values with PR'!$AA$4)</f>
        <v>-0.3334696376762093</v>
      </c>
      <c r="F15">
        <f>STANDARDIZE(Dataset!Z15,'standardized values with PR'!$Y$5,'standardized values with PR'!$AA$5)</f>
        <v>-0.29364557371355354</v>
      </c>
      <c r="G15">
        <f>STANDARDIZE(Dataset!AA15,'standardized values with PR'!$Y$6,'standardized values with PR'!$AA$6)</f>
        <v>-0.14212772817710254</v>
      </c>
      <c r="H15">
        <f>STANDARDIZE(Dataset!AB15,'standardized values with PR'!$Y$7,'standardized values with PR'!$AA$7)</f>
        <v>-0.19515070843559573</v>
      </c>
      <c r="I15">
        <f>STANDARDIZE(Dataset!AC15,'standardized values with PR'!$Y$8,'standardized values with PR'!$AA$8)</f>
        <v>0.39501248922479076</v>
      </c>
      <c r="J15">
        <f>STANDARDIZE(Dataset!AL15,'standardized values with PR'!$Y$14,'standardized values with PR'!$AA$14)</f>
        <v>0.72261923248165949</v>
      </c>
      <c r="K15">
        <f>STANDARDIZE(Dataset!AM15,'standardized values with PR'!$Y$15,'standardized values with PR'!$AA$15)</f>
        <v>2.5674577442796971</v>
      </c>
      <c r="L15">
        <f>STANDARDIZE(Dataset!AN15,'standardized values with PR'!$Y$16,'standardized values with PR'!$AA$16)</f>
        <v>-0.1407615917931358</v>
      </c>
      <c r="M15">
        <f>STANDARDIZE(Dataset!AO15,'standardized values with PR'!$Y$17,'standardized values with PR'!$AA$17)</f>
        <v>0.42354055337053353</v>
      </c>
      <c r="N15">
        <f>STANDARDIZE(Dataset!AP15,'standardized values with PR'!$Y$18,'standardized values with PR'!$AA$18)</f>
        <v>0.41526901013374218</v>
      </c>
      <c r="O15">
        <f>STANDARDIZE(Dataset!AQ15,'standardized values with PR'!$Y$22,'standardized values with PR'!$AA$22)</f>
        <v>0.18806322384013097</v>
      </c>
      <c r="P15">
        <f>STANDARDIZE(Dataset!AR15,'standardized values with PR'!$Y$23,'standardized values with PR'!$AA$23)</f>
        <v>1.6224385542095943</v>
      </c>
      <c r="Q15">
        <f>STANDARDIZE(Dataset!AS15,'standardized values with PR'!$Y$24,'standardized values with PR'!$AA$24)</f>
        <v>-9.4018168481223071E-3</v>
      </c>
      <c r="R15">
        <f>STANDARDIZE(Dataset!AD15,'standardized values with PR'!$Y$9,'standardized values with PR'!$AA$9)</f>
        <v>-0.60454647010301266</v>
      </c>
      <c r="S15">
        <f>STANDARDIZE(Dataset!AE15,'standardized values with PR'!$Y$10,'standardized values with PR'!$AA$10)</f>
        <v>-0.89949120555962481</v>
      </c>
      <c r="T15">
        <f>STANDARDIZE(Dataset!AF15,'standardized values with PR'!$Y$11,'standardized values with PR'!$AA$11)</f>
        <v>-0.15162963133061741</v>
      </c>
      <c r="U15">
        <f>STANDARDIZE(Dataset!AG15,'standardized values with PR'!$Y$12,'standardized values with PR'!$AA$12)</f>
        <v>-0.45052592805411473</v>
      </c>
      <c r="V15">
        <f>STANDARDIZE(Dataset!AH15,'standardized values with PR'!$Y$13,'standardized values with PR'!$AA$13)</f>
        <v>-0.48054609412229127</v>
      </c>
      <c r="W15" s="8" t="s">
        <v>71</v>
      </c>
      <c r="X15" s="81">
        <v>51</v>
      </c>
      <c r="Y15" s="19">
        <f>AVERAGE(Dataset!$AM$2:$AM$51,Dataset!$AM$52)</f>
        <v>6.5840654887001004E-4</v>
      </c>
      <c r="Z15" s="19">
        <f>MEDIAN(Dataset!$AM$2:$AM$51,Dataset!$AM$52)</f>
        <v>4.8272412768254826E-4</v>
      </c>
      <c r="AA15" s="19">
        <f>STDEV(Dataset!$AM$2:$AM$51,Dataset!$AM$52)</f>
        <v>7.0272992937553142E-4</v>
      </c>
      <c r="AB15" s="19">
        <f>MAX(Dataset!$AM$2:$AM$51,Dataset!$AM$52)</f>
        <v>4.3730255757091193E-3</v>
      </c>
      <c r="AC15" s="19">
        <f>MIN(Dataset!$AM$2:$AM$51,Dataset!$AM$52)</f>
        <v>6.0072914399512106E-5</v>
      </c>
      <c r="AE15" s="8" t="s">
        <v>70</v>
      </c>
      <c r="AF15" s="31">
        <f t="shared" si="0"/>
        <v>-0.93509703829804613</v>
      </c>
      <c r="AG15" s="31">
        <f t="shared" si="1"/>
        <v>3.6850894659861471</v>
      </c>
      <c r="AH15" s="31">
        <f t="shared" si="2"/>
        <v>-0.3372784366126983</v>
      </c>
      <c r="AI15" s="31">
        <f t="shared" si="3"/>
        <v>0.69804797171113986</v>
      </c>
      <c r="AJ15" s="31">
        <f t="shared" si="4"/>
        <v>1.801099961201603</v>
      </c>
      <c r="AK15" s="31">
        <f t="shared" si="5"/>
        <v>0.17309232367112848</v>
      </c>
    </row>
    <row r="16" spans="1:38" ht="15.75" customHeight="1" x14ac:dyDescent="0.25">
      <c r="A16" t="s">
        <v>72</v>
      </c>
      <c r="B16" s="8" t="s">
        <v>73</v>
      </c>
      <c r="C16" s="8">
        <v>2014</v>
      </c>
      <c r="D16">
        <f>STANDARDIZE(Dataset!X16,'standardized values with PR'!$Y$3,'standardized values with PR'!$AA$3)</f>
        <v>-0.25862211710175731</v>
      </c>
      <c r="E16">
        <f>STANDARDIZE(Dataset!Y16,'standardized values with PR'!$Y$4,'standardized values with PR'!$AA$4)</f>
        <v>-0.23388644516598397</v>
      </c>
      <c r="F16">
        <f>STANDARDIZE(Dataset!Z16,'standardized values with PR'!$Y$5,'standardized values with PR'!$AA$5)</f>
        <v>-0.30877958121982446</v>
      </c>
      <c r="G16">
        <f>STANDARDIZE(Dataset!AA16,'standardized values with PR'!$Y$6,'standardized values with PR'!$AA$6)</f>
        <v>-0.14252947292507057</v>
      </c>
      <c r="H16">
        <f>STANDARDIZE(Dataset!AB16,'standardized values with PR'!$Y$7,'standardized values with PR'!$AA$7)</f>
        <v>-0.14431001841771898</v>
      </c>
      <c r="I16">
        <f>STANDARDIZE(Dataset!AC16,'standardized values with PR'!$Y$8,'standardized values with PR'!$AA$8)</f>
        <v>0.40544536541623327</v>
      </c>
      <c r="J16">
        <f>STANDARDIZE(Dataset!AL16,'standardized values with PR'!$Y$14,'standardized values with PR'!$AA$14)</f>
        <v>1.6588398944831426E-2</v>
      </c>
      <c r="K16">
        <f>STANDARDIZE(Dataset!AM16,'standardized values with PR'!$Y$15,'standardized values with PR'!$AA$15)</f>
        <v>0.12583574510973228</v>
      </c>
      <c r="L16">
        <f>STANDARDIZE(Dataset!AN16,'standardized values with PR'!$Y$16,'standardized values with PR'!$AA$16)</f>
        <v>0.39964253215658274</v>
      </c>
      <c r="M16">
        <f>STANDARDIZE(Dataset!AO16,'standardized values with PR'!$Y$17,'standardized values with PR'!$AA$17)</f>
        <v>-0.34554044175611143</v>
      </c>
      <c r="N16">
        <f>STANDARDIZE(Dataset!AP16,'standardized values with PR'!$Y$18,'standardized values with PR'!$AA$18)</f>
        <v>-0.37706770980669507</v>
      </c>
      <c r="O16">
        <f>STANDARDIZE(Dataset!AQ16,'standardized values with PR'!$Y$22,'standardized values with PR'!$AA$22)</f>
        <v>-0.17522222627683945</v>
      </c>
      <c r="P16">
        <f>STANDARDIZE(Dataset!AR16,'standardized values with PR'!$Y$23,'standardized values with PR'!$AA$23)</f>
        <v>8.2511485312775273E-2</v>
      </c>
      <c r="Q16">
        <f>STANDARDIZE(Dataset!AS16,'standardized values with PR'!$Y$24,'standardized values with PR'!$AA$24)</f>
        <v>-6.8925441158284403E-2</v>
      </c>
      <c r="R16">
        <f>STANDARDIZE(Dataset!AD16,'standardized values with PR'!$Y$9,'standardized values with PR'!$AA$9)</f>
        <v>-0.46865413597590733</v>
      </c>
      <c r="S16">
        <f>STANDARDIZE(Dataset!AE16,'standardized values with PR'!$Y$10,'standardized values with PR'!$AA$10)</f>
        <v>-0.58434415633506198</v>
      </c>
      <c r="T16">
        <f>STANDARDIZE(Dataset!AF16,'standardized values with PR'!$Y$11,'standardized values with PR'!$AA$11)</f>
        <v>-0.51089085222434194</v>
      </c>
      <c r="U16">
        <f>STANDARDIZE(Dataset!AG16,'standardized values with PR'!$Y$12,'standardized values with PR'!$AA$12)</f>
        <v>-4.1036055749946506E-3</v>
      </c>
      <c r="V16">
        <f>STANDARDIZE(Dataset!AH16,'standardized values with PR'!$Y$13,'standardized values with PR'!$AA$13)</f>
        <v>6.0600036363304771E-2</v>
      </c>
      <c r="W16" s="8" t="s">
        <v>183</v>
      </c>
      <c r="X16" s="81">
        <v>51</v>
      </c>
      <c r="Y16" s="19">
        <f>AVERAGE(Dataset!$AN$2:$AN$51,Dataset!$AN$52)</f>
        <v>17.820686034930251</v>
      </c>
      <c r="Z16" s="19">
        <f>MEDIAN(Dataset!$AN$2:$AN$51,Dataset!$AN$52)</f>
        <v>17.211818576793107</v>
      </c>
      <c r="AA16" s="19">
        <f>STDEV(Dataset!$AN$2:$AN$51,Dataset!$AN$52)</f>
        <v>5.44186148061506</v>
      </c>
      <c r="AB16" s="19">
        <f>MAX(Dataset!$AN$2:$AN$51,Dataset!$AN$52)</f>
        <v>37.567008373397627</v>
      </c>
      <c r="AC16" s="19">
        <f>MIN(Dataset!$AN$2:$AN$51,Dataset!$AN$52)</f>
        <v>6.1330065935181812</v>
      </c>
      <c r="AD16" s="8"/>
      <c r="AE16" s="8" t="s">
        <v>73</v>
      </c>
      <c r="AF16" s="31">
        <f t="shared" si="0"/>
        <v>-0.80128814348756583</v>
      </c>
      <c r="AG16" s="31">
        <f t="shared" si="1"/>
        <v>0.54786950947079704</v>
      </c>
      <c r="AH16" s="31">
        <f t="shared" si="2"/>
        <v>-0.28683949134278952</v>
      </c>
      <c r="AI16" s="31">
        <f t="shared" si="3"/>
        <v>-0.32296561940622376</v>
      </c>
      <c r="AJ16" s="31">
        <f t="shared" si="4"/>
        <v>-0.16163618212234859</v>
      </c>
      <c r="AK16" s="31">
        <f t="shared" si="5"/>
        <v>-0.37451790139640184</v>
      </c>
    </row>
    <row r="17" spans="1:37" ht="15.75" customHeight="1" x14ac:dyDescent="0.25">
      <c r="A17" t="s">
        <v>74</v>
      </c>
      <c r="B17" s="8" t="s">
        <v>75</v>
      </c>
      <c r="C17" s="8">
        <v>2014</v>
      </c>
      <c r="D17">
        <f>STANDARDIZE(Dataset!X17,'standardized values with PR'!$Y$3,'standardized values with PR'!$AA$3)</f>
        <v>-0.36086883892566329</v>
      </c>
      <c r="E17">
        <f>STANDARDIZE(Dataset!Y17,'standardized values with PR'!$Y$4,'standardized values with PR'!$AA$4)</f>
        <v>-0.29995887031161922</v>
      </c>
      <c r="F17">
        <f>STANDARDIZE(Dataset!Z17,'standardized values with PR'!$Y$5,'standardized values with PR'!$AA$5)</f>
        <v>-0.39547028734938838</v>
      </c>
      <c r="G17">
        <f>STANDARDIZE(Dataset!AA17,'standardized values with PR'!$Y$6,'standardized values with PR'!$AA$6)</f>
        <v>-0.43220812828045696</v>
      </c>
      <c r="H17">
        <f>STANDARDIZE(Dataset!AB17,'standardized values with PR'!$Y$7,'standardized values with PR'!$AA$7)</f>
        <v>-0.30610268496211163</v>
      </c>
      <c r="I17">
        <f>STANDARDIZE(Dataset!AC17,'standardized values with PR'!$Y$8,'standardized values with PR'!$AA$8)</f>
        <v>0.23924692034744813</v>
      </c>
      <c r="J17">
        <f>STANDARDIZE(Dataset!AL17,'standardized values with PR'!$Y$14,'standardized values with PR'!$AA$14)</f>
        <v>-0.14545567134766024</v>
      </c>
      <c r="K17">
        <f>STANDARDIZE(Dataset!AM17,'standardized values with PR'!$Y$15,'standardized values with PR'!$AA$15)</f>
        <v>0.10761360200047655</v>
      </c>
      <c r="L17">
        <f>STANDARDIZE(Dataset!AN17,'standardized values with PR'!$Y$16,'standardized values with PR'!$AA$16)</f>
        <v>0.13177590311550424</v>
      </c>
      <c r="M17">
        <f>STANDARDIZE(Dataset!AO17,'standardized values with PR'!$Y$17,'standardized values with PR'!$AA$17)</f>
        <v>0.93700305826613939</v>
      </c>
      <c r="N17">
        <f>STANDARDIZE(Dataset!AP17,'standardized values with PR'!$Y$18,'standardized values with PR'!$AA$18)</f>
        <v>0.7828650578340709</v>
      </c>
      <c r="O17">
        <f>STANDARDIZE(Dataset!AQ17,'standardized values with PR'!$Y$22,'standardized values with PR'!$AA$22)</f>
        <v>-0.18444991990941023</v>
      </c>
      <c r="P17">
        <f>STANDARDIZE(Dataset!AR17,'standardized values with PR'!$Y$23,'standardized values with PR'!$AA$23)</f>
        <v>6.1531776466324191E-2</v>
      </c>
      <c r="Q17">
        <f>STANDARDIZE(Dataset!AS17,'standardized values with PR'!$Y$24,'standardized values with PR'!$AA$24)</f>
        <v>-8.8611632323184128E-2</v>
      </c>
      <c r="R17">
        <f>STANDARDIZE(Dataset!AD17,'standardized values with PR'!$Y$9,'standardized values with PR'!$AA$9)</f>
        <v>-0.39723805923308697</v>
      </c>
      <c r="S17">
        <f>STANDARDIZE(Dataset!AE17,'standardized values with PR'!$Y$10,'standardized values with PR'!$AA$10)</f>
        <v>-0.57645336128101587</v>
      </c>
      <c r="T17">
        <f>STANDARDIZE(Dataset!AF17,'standardized values with PR'!$Y$11,'standardized values with PR'!$AA$11)</f>
        <v>-0.34705992552490361</v>
      </c>
      <c r="U17">
        <f>STANDARDIZE(Dataset!AG17,'standardized values with PR'!$Y$12,'standardized values with PR'!$AA$12)</f>
        <v>-0.66733133161171354</v>
      </c>
      <c r="V17">
        <f>STANDARDIZE(Dataset!AH17,'standardized values with PR'!$Y$13,'standardized values with PR'!$AA$13)</f>
        <v>-0.66945028544514373</v>
      </c>
      <c r="W17" s="8" t="s">
        <v>184</v>
      </c>
      <c r="X17" s="81">
        <v>51</v>
      </c>
      <c r="Y17" s="19">
        <f>AVERAGE(Dataset!$AO$2:$AO$51,Dataset!$AO$52)</f>
        <v>7.6973292279254011</v>
      </c>
      <c r="Z17" s="19">
        <f>MEDIAN(Dataset!$AO$2:$AO$51,Dataset!$AO$52)</f>
        <v>7.7846342653872629</v>
      </c>
      <c r="AA17" s="19">
        <f>STDEV(Dataset!$AO$2:$AO$51,Dataset!$AO$52)</f>
        <v>2.0426725292887458</v>
      </c>
      <c r="AB17" s="19">
        <f>MAX(Dataset!$AO$2:$AO$51,Dataset!$AO$52)</f>
        <v>12.809853718381056</v>
      </c>
      <c r="AC17" s="19">
        <f>MIN(Dataset!$AO$2:$AO$51,Dataset!$AO$52)</f>
        <v>2.3160866655025902</v>
      </c>
      <c r="AD17" s="8"/>
      <c r="AE17" s="32" t="s">
        <v>75</v>
      </c>
      <c r="AF17" s="31">
        <f t="shared" si="0"/>
        <v>-1.0562979965866708</v>
      </c>
      <c r="AG17" s="31">
        <f t="shared" si="1"/>
        <v>0.20140485100026445</v>
      </c>
      <c r="AH17" s="31">
        <f t="shared" si="2"/>
        <v>-0.73831081324256864</v>
      </c>
      <c r="AI17" s="31">
        <f t="shared" si="3"/>
        <v>1.8516440192157146</v>
      </c>
      <c r="AJ17" s="31">
        <f t="shared" si="4"/>
        <v>-0.21152977576627019</v>
      </c>
      <c r="AK17" s="31">
        <f t="shared" si="5"/>
        <v>-0.44396117399526291</v>
      </c>
    </row>
    <row r="18" spans="1:37" ht="15.75" customHeight="1" x14ac:dyDescent="0.25">
      <c r="A18" t="s">
        <v>76</v>
      </c>
      <c r="B18" s="8" t="s">
        <v>77</v>
      </c>
      <c r="C18" s="8">
        <v>2014</v>
      </c>
      <c r="D18">
        <f>STANDARDIZE(Dataset!X18,'standardized values with PR'!$Y$3,'standardized values with PR'!$AA$3)</f>
        <v>-0.51154666513044589</v>
      </c>
      <c r="E18">
        <f>STANDARDIZE(Dataset!Y18,'standardized values with PR'!$Y$4,'standardized values with PR'!$AA$4)</f>
        <v>-0.48598338185902701</v>
      </c>
      <c r="F18">
        <f>STANDARDIZE(Dataset!Z18,'standardized values with PR'!$Y$5,'standardized values with PR'!$AA$5)</f>
        <v>-0.4376946244274057</v>
      </c>
      <c r="G18">
        <f>STANDARDIZE(Dataset!AA18,'standardized values with PR'!$Y$6,'standardized values with PR'!$AA$6)</f>
        <v>-0.62626598654859533</v>
      </c>
      <c r="H18">
        <f>STANDARDIZE(Dataset!AB18,'standardized values with PR'!$Y$7,'standardized values with PR'!$AA$7)</f>
        <v>-0.3987128670913454</v>
      </c>
      <c r="I18">
        <f>STANDARDIZE(Dataset!AC18,'standardized values with PR'!$Y$8,'standardized values with PR'!$AA$8)</f>
        <v>-0.52758683046378274</v>
      </c>
      <c r="J18">
        <f>STANDARDIZE(Dataset!AL18,'standardized values with PR'!$Y$14,'standardized values with PR'!$AA$14)</f>
        <v>-0.54606287557447331</v>
      </c>
      <c r="K18">
        <f>STANDARDIZE(Dataset!AM18,'standardized values with PR'!$Y$15,'standardized values with PR'!$AA$15)</f>
        <v>-0.5750739912279188</v>
      </c>
      <c r="L18">
        <f>STANDARDIZE(Dataset!AN18,'standardized values with PR'!$Y$16,'standardized values with PR'!$AA$16)</f>
        <v>-0.47861182664134178</v>
      </c>
      <c r="M18">
        <f>STANDARDIZE(Dataset!AO18,'standardized values with PR'!$Y$17,'standardized values with PR'!$AA$17)</f>
        <v>-0.55028578720672328</v>
      </c>
      <c r="N18">
        <f>STANDARDIZE(Dataset!AP18,'standardized values with PR'!$Y$18,'standardized values with PR'!$AA$18)</f>
        <v>-0.77189336070886283</v>
      </c>
      <c r="O18">
        <f>STANDARDIZE(Dataset!AQ18,'standardized values with PR'!$Y$22,'standardized values with PR'!$AA$22)</f>
        <v>-0.20826083016969718</v>
      </c>
      <c r="P18">
        <f>STANDARDIZE(Dataset!AR18,'standardized values with PR'!$Y$23,'standardized values with PR'!$AA$23)</f>
        <v>-1.1526390854308954</v>
      </c>
      <c r="Q18">
        <f>STANDARDIZE(Dataset!AS18,'standardized values with PR'!$Y$24,'standardized values with PR'!$AA$24)</f>
        <v>-0.17951358443854798</v>
      </c>
      <c r="R18">
        <f>STANDARDIZE(Dataset!AD18,'standardized values with PR'!$Y$9,'standardized values with PR'!$AA$9)</f>
        <v>0.14394570447645053</v>
      </c>
      <c r="S18">
        <f>STANDARDIZE(Dataset!AE18,'standardized values with PR'!$Y$10,'standardized values with PR'!$AA$10)</f>
        <v>0.29180217759860605</v>
      </c>
      <c r="T18">
        <f>STANDARDIZE(Dataset!AF18,'standardized values with PR'!$Y$11,'standardized values with PR'!$AA$11)</f>
        <v>0.14352063078449392</v>
      </c>
      <c r="U18">
        <f>STANDARDIZE(Dataset!AG18,'standardized values with PR'!$Y$12,'standardized values with PR'!$AA$12)</f>
        <v>0.15070881038344938</v>
      </c>
      <c r="V18">
        <f>STANDARDIZE(Dataset!AH18,'standardized values with PR'!$Y$13,'standardized values with PR'!$AA$13)</f>
        <v>0.43251592765012287</v>
      </c>
      <c r="W18" s="41" t="s">
        <v>185</v>
      </c>
      <c r="X18" s="81">
        <v>51</v>
      </c>
      <c r="Y18" s="19">
        <f>AVERAGE(Dataset!$AP$2:$AP$51,Dataset!$AP$52)</f>
        <v>8.0521113885352449</v>
      </c>
      <c r="Z18" s="19">
        <f>MEDIAN(Dataset!$AP$2:$AP$51,Dataset!$AP$52)</f>
        <v>7.8499405800060273</v>
      </c>
      <c r="AA18" s="19">
        <f>STDEV(Dataset!$AP$2:$AP$51,Dataset!$AP$52)</f>
        <v>2.0633725685269737</v>
      </c>
      <c r="AB18" s="19">
        <f>MAX(Dataset!$AP$2:$AP$51,Dataset!$AP$52)</f>
        <v>13.542135015292757</v>
      </c>
      <c r="AC18" s="19">
        <f>MIN(Dataset!$AP$2:$AP$51,Dataset!$AP$52)</f>
        <v>2.908962371721779</v>
      </c>
      <c r="AD18" s="8"/>
      <c r="AE18" s="8" t="s">
        <v>77</v>
      </c>
      <c r="AF18" s="31">
        <f t="shared" si="0"/>
        <v>-1.4352246714168786</v>
      </c>
      <c r="AG18" s="31">
        <f t="shared" si="1"/>
        <v>-1.6487236972661747</v>
      </c>
      <c r="AH18" s="31">
        <f t="shared" si="2"/>
        <v>-1.0249788536399407</v>
      </c>
      <c r="AI18" s="31">
        <f t="shared" si="3"/>
        <v>-1.8007909745569277</v>
      </c>
      <c r="AJ18" s="31">
        <f t="shared" si="4"/>
        <v>-1.5404135000391406</v>
      </c>
      <c r="AK18" s="31">
        <f t="shared" si="5"/>
        <v>-1.3600640509561108</v>
      </c>
    </row>
    <row r="19" spans="1:37" s="8" customFormat="1" ht="15.75" customHeight="1" x14ac:dyDescent="0.25">
      <c r="A19" s="8" t="s">
        <v>78</v>
      </c>
      <c r="B19" s="8" t="s">
        <v>79</v>
      </c>
      <c r="C19" s="8">
        <v>2014</v>
      </c>
      <c r="D19">
        <f>STANDARDIZE(Dataset!X19,'standardized values with PR'!$Y$3,'standardized values with PR'!$AA$3)</f>
        <v>-0.12885849226829202</v>
      </c>
      <c r="E19">
        <f>STANDARDIZE(Dataset!Y19,'standardized values with PR'!$Y$4,'standardized values with PR'!$AA$4)</f>
        <v>-0.21516115357406546</v>
      </c>
      <c r="F19">
        <f>STANDARDIZE(Dataset!Z19,'standardized values with PR'!$Y$5,'standardized values with PR'!$AA$5)</f>
        <v>-8.33268399915566E-2</v>
      </c>
      <c r="G19">
        <f>STANDARDIZE(Dataset!AA19,'standardized values with PR'!$Y$6,'standardized values with PR'!$AA$6)</f>
        <v>-0.80342964818913165</v>
      </c>
      <c r="H19">
        <f>STANDARDIZE(Dataset!AB19,'standardized values with PR'!$Y$7,'standardized values with PR'!$AA$7)</f>
        <v>-0.48283001363076955</v>
      </c>
      <c r="I19">
        <f>STANDARDIZE(Dataset!AC19,'standardized values with PR'!$Y$8,'standardized values with PR'!$AA$8)</f>
        <v>0.10951092526437181</v>
      </c>
      <c r="J19">
        <f>STANDARDIZE(Dataset!AL19,'standardized values with PR'!$Y$14,'standardized values with PR'!$AA$14)</f>
        <v>-0.47365997575123248</v>
      </c>
      <c r="K19">
        <f>STANDARDIZE(Dataset!AM19,'standardized values with PR'!$Y$15,'standardized values with PR'!$AA$15)</f>
        <v>-0.44341873976698942</v>
      </c>
      <c r="L19">
        <f>STANDARDIZE(Dataset!AN19,'standardized values with PR'!$Y$16,'standardized values with PR'!$AA$16)</f>
        <v>0.93393174399450851</v>
      </c>
      <c r="M19">
        <f>STANDARDIZE(Dataset!AO19,'standardized values with PR'!$Y$17,'standardized values with PR'!$AA$17)</f>
        <v>4.2740594104068767E-2</v>
      </c>
      <c r="N19">
        <f>STANDARDIZE(Dataset!AP19,'standardized values with PR'!$Y$18,'standardized values with PR'!$AA$18)</f>
        <v>-0.27476785264167058</v>
      </c>
      <c r="O19">
        <f>STANDARDIZE(Dataset!AQ19,'standardized values with PR'!$Y$22,'standardized values with PR'!$AA$22)</f>
        <v>-0.21597767533460244</v>
      </c>
      <c r="P19">
        <f>STANDARDIZE(Dataset!AR19,'standardized values with PR'!$Y$23,'standardized values with PR'!$AA$23)</f>
        <v>-0.75951940080276159</v>
      </c>
      <c r="Q19">
        <f>STANDARDIZE(Dataset!AS19,'standardized values with PR'!$Y$24,'standardized values with PR'!$AA$24)</f>
        <v>-0.17997187032167669</v>
      </c>
      <c r="R19">
        <f>STANDARDIZE(Dataset!AD19,'standardized values with PR'!$Y$9,'standardized values with PR'!$AA$9)</f>
        <v>-4.6954436201952846E-2</v>
      </c>
      <c r="S19">
        <f>STANDARDIZE(Dataset!AE19,'standardized values with PR'!$Y$10,'standardized values with PR'!$AA$10)</f>
        <v>-6.259862935001341E-2</v>
      </c>
      <c r="T19">
        <f>STANDARDIZE(Dataset!AF19,'standardized values with PR'!$Y$11,'standardized values with PR'!$AA$11)</f>
        <v>-0.77538682728559527</v>
      </c>
      <c r="U19">
        <f>STANDARDIZE(Dataset!AG19,'standardized values with PR'!$Y$12,'standardized values with PR'!$AA$12)</f>
        <v>-0.25200647629741696</v>
      </c>
      <c r="V19">
        <f>STANDARDIZE(Dataset!AH19,'standardized values with PR'!$Y$13,'standardized values with PR'!$AA$13)</f>
        <v>-2.255831061439019E-2</v>
      </c>
      <c r="W19" s="41" t="s">
        <v>186</v>
      </c>
      <c r="X19" s="81">
        <v>51</v>
      </c>
      <c r="Y19" s="51">
        <f>AVERAGE(Dataset!$AI$2:$AI$51,Dataset!$AI$52)</f>
        <v>5.9671820743126304E-2</v>
      </c>
      <c r="Z19" s="51">
        <f>MEDIAN(Dataset!$AI$2:$AI$51,Dataset!$AI$52)</f>
        <v>3.4143084573770931E-2</v>
      </c>
      <c r="AA19" s="51">
        <f>STDEV(Dataset!$AI$2:$AI$51,Dataset!$AI$52)</f>
        <v>0.1551684665269781</v>
      </c>
      <c r="AB19" s="51">
        <f>MAX(Dataset!$AI$2:$AI$51,Dataset!$AI$52)</f>
        <v>1.1330814217845999</v>
      </c>
      <c r="AC19" s="51">
        <f>MIN(Dataset!$AI$2:$AI$51,Dataset!$AI$52)</f>
        <v>2.6531462749725717E-4</v>
      </c>
      <c r="AE19" s="8" t="s">
        <v>79</v>
      </c>
      <c r="AF19" s="31">
        <f t="shared" si="0"/>
        <v>-0.42734648583391405</v>
      </c>
      <c r="AG19" s="31">
        <f t="shared" si="1"/>
        <v>-0.80756779025385006</v>
      </c>
      <c r="AH19" s="31">
        <f t="shared" si="2"/>
        <v>-1.2862596618199011</v>
      </c>
      <c r="AI19" s="31">
        <f t="shared" si="3"/>
        <v>0.70190448545690665</v>
      </c>
      <c r="AJ19" s="31">
        <f t="shared" si="4"/>
        <v>-1.1554689464590406</v>
      </c>
      <c r="AK19" s="31">
        <f t="shared" si="5"/>
        <v>-0.7258753768044337</v>
      </c>
    </row>
    <row r="20" spans="1:37" s="8" customFormat="1" ht="15.75" customHeight="1" x14ac:dyDescent="0.25">
      <c r="A20" s="8" t="s">
        <v>80</v>
      </c>
      <c r="B20" s="8" t="s">
        <v>81</v>
      </c>
      <c r="C20" s="8">
        <v>2014</v>
      </c>
      <c r="D20">
        <f>STANDARDIZE(Dataset!X20,'standardized values with PR'!$Y$3,'standardized values with PR'!$AA$3)</f>
        <v>-0.60283960104270007</v>
      </c>
      <c r="E20">
        <f>STANDARDIZE(Dataset!Y20,'standardized values with PR'!$Y$4,'standardized values with PR'!$AA$4)</f>
        <v>-0.63647249803057948</v>
      </c>
      <c r="F20">
        <f>STANDARDIZE(Dataset!Z20,'standardized values with PR'!$Y$5,'standardized values with PR'!$AA$5)</f>
        <v>-0.54114168525108441</v>
      </c>
      <c r="G20">
        <f>STANDARDIZE(Dataset!AA20,'standardized values with PR'!$Y$6,'standardized values with PR'!$AA$6)</f>
        <v>-0.51127776994811824</v>
      </c>
      <c r="H20">
        <f>STANDARDIZE(Dataset!AB20,'standardized values with PR'!$Y$7,'standardized values with PR'!$AA$7)</f>
        <v>-0.34070100561873012</v>
      </c>
      <c r="I20">
        <f>STANDARDIZE(Dataset!AC20,'standardized values with PR'!$Y$8,'standardized values with PR'!$AA$8)</f>
        <v>9.863610894550455E-2</v>
      </c>
      <c r="J20">
        <f>STANDARDIZE(Dataset!AL20,'standardized values with PR'!$Y$14,'standardized values with PR'!$AA$14)</f>
        <v>-0.1932457373507015</v>
      </c>
      <c r="K20">
        <f>STANDARDIZE(Dataset!AM20,'standardized values with PR'!$Y$15,'standardized values with PR'!$AA$15)</f>
        <v>0.33879101825811325</v>
      </c>
      <c r="L20">
        <f>STANDARDIZE(Dataset!AN20,'standardized values with PR'!$Y$16,'standardized values with PR'!$AA$16)</f>
        <v>-0.44833993732694455</v>
      </c>
      <c r="M20">
        <f>STANDARDIZE(Dataset!AO20,'standardized values with PR'!$Y$17,'standardized values with PR'!$AA$17)</f>
        <v>-0.25138674005010825</v>
      </c>
      <c r="N20">
        <f>STANDARDIZE(Dataset!AP20,'standardized values with PR'!$Y$18,'standardized values with PR'!$AA$18)</f>
        <v>-0.43333284367051206</v>
      </c>
      <c r="O20">
        <f>STANDARDIZE(Dataset!AQ20,'standardized values with PR'!$Y$22,'standardized values with PR'!$AA$22)</f>
        <v>-0.16199410490660554</v>
      </c>
      <c r="P20">
        <f>STANDARDIZE(Dataset!AR20,'standardized values with PR'!$Y$23,'standardized values with PR'!$AA$23)</f>
        <v>3.7379304012373576E-2</v>
      </c>
      <c r="Q20">
        <f>STANDARDIZE(Dataset!AS20,'standardized values with PR'!$Y$24,'standardized values with PR'!$AA$24)</f>
        <v>-7.402265932362459E-2</v>
      </c>
      <c r="R20">
        <f>STANDARDIZE(Dataset!AD20,'standardized values with PR'!$Y$9,'standardized values with PR'!$AA$9)</f>
        <v>-0.36910766773133452</v>
      </c>
      <c r="S20">
        <f>STANDARDIZE(Dataset!AE20,'standardized values with PR'!$Y$10,'standardized values with PR'!$AA$10)</f>
        <v>-0.65984996013086405</v>
      </c>
      <c r="T20">
        <f>STANDARDIZE(Dataset!AF20,'standardized values with PR'!$Y$11,'standardized values with PR'!$AA$11)</f>
        <v>0.11419679166282731</v>
      </c>
      <c r="U20">
        <f>STANDARDIZE(Dataset!AG20,'standardized values with PR'!$Y$12,'standardized values with PR'!$AA$12)</f>
        <v>-6.9244697917896295E-2</v>
      </c>
      <c r="V20">
        <f>STANDARDIZE(Dataset!AH20,'standardized values with PR'!$Y$13,'standardized values with PR'!$AA$13)</f>
        <v>0.10842786834768744</v>
      </c>
      <c r="W20" s="41" t="s">
        <v>187</v>
      </c>
      <c r="X20" s="81">
        <v>51</v>
      </c>
      <c r="Y20" s="33">
        <f>AVERAGE(Dataset!$AJ$2:$AJ$51,Dataset!$AJ$52)</f>
        <v>0.31007197792597141</v>
      </c>
      <c r="Z20" s="33">
        <f>MEDIAN(Dataset!$AJ$2:$AJ$51,Dataset!$AJ$52)</f>
        <v>0.28287841907465766</v>
      </c>
      <c r="AA20" s="33">
        <f>STDEV(Dataset!$AJ$2:$AJ$51,Dataset!$AJ$52)</f>
        <v>0.13029415388109489</v>
      </c>
      <c r="AB20" s="33">
        <f>MAX(Dataset!$AJ$2:$AJ$51,Dataset!$AJ$52)</f>
        <v>0.70464503322098893</v>
      </c>
      <c r="AC20" s="33">
        <f>MIN(Dataset!$AJ$2:$AJ$51,Dataset!$AJ$52)</f>
        <v>0.13710042005070502</v>
      </c>
      <c r="AE20" s="8" t="s">
        <v>81</v>
      </c>
      <c r="AF20" s="31">
        <f t="shared" si="0"/>
        <v>-1.780453784324364</v>
      </c>
      <c r="AG20" s="31">
        <f t="shared" si="1"/>
        <v>0.24418138985291632</v>
      </c>
      <c r="AH20" s="31">
        <f t="shared" si="2"/>
        <v>-0.85197877556684842</v>
      </c>
      <c r="AI20" s="31">
        <f t="shared" si="3"/>
        <v>-1.1330595210475649</v>
      </c>
      <c r="AJ20" s="31">
        <f t="shared" si="4"/>
        <v>-0.19863746021785655</v>
      </c>
      <c r="AK20" s="31">
        <f t="shared" si="5"/>
        <v>-1.0301029551031748</v>
      </c>
    </row>
    <row r="21" spans="1:37" s="8" customFormat="1" ht="15.75" customHeight="1" x14ac:dyDescent="0.25">
      <c r="A21" s="8" t="s">
        <v>82</v>
      </c>
      <c r="B21" s="8" t="s">
        <v>83</v>
      </c>
      <c r="C21" s="8">
        <v>2014</v>
      </c>
      <c r="D21">
        <f>STANDARDIZE(Dataset!X21,'standardized values with PR'!$Y$3,'standardized values with PR'!$AA$3)</f>
        <v>-0.58726022741763484</v>
      </c>
      <c r="E21">
        <f>STANDARDIZE(Dataset!Y21,'standardized values with PR'!$Y$4,'standardized values with PR'!$AA$4)</f>
        <v>-0.57749540211459871</v>
      </c>
      <c r="F21">
        <f>STANDARDIZE(Dataset!Z21,'standardized values with PR'!$Y$5,'standardized values with PR'!$AA$5)</f>
        <v>-0.60685550848905445</v>
      </c>
      <c r="G21">
        <f>STANDARDIZE(Dataset!AA21,'standardized values with PR'!$Y$6,'standardized values with PR'!$AA$6)</f>
        <v>-0.64874069577438087</v>
      </c>
      <c r="H21">
        <f>STANDARDIZE(Dataset!AB21,'standardized values with PR'!$Y$7,'standardized values with PR'!$AA$7)</f>
        <v>-0.41473643004945704</v>
      </c>
      <c r="I21">
        <f>STANDARDIZE(Dataset!AC21,'standardized values with PR'!$Y$8,'standardized values with PR'!$AA$8)</f>
        <v>-0.24741332384674963</v>
      </c>
      <c r="J21">
        <f>STANDARDIZE(Dataset!AL21,'standardized values with PR'!$Y$14,'standardized values with PR'!$AA$14)</f>
        <v>-0.57569977787306448</v>
      </c>
      <c r="K21">
        <f>STANDARDIZE(Dataset!AM21,'standardized values with PR'!$Y$15,'standardized values with PR'!$AA$15)</f>
        <v>-0.60332323266605892</v>
      </c>
      <c r="L21">
        <f>STANDARDIZE(Dataset!AN21,'standardized values with PR'!$Y$16,'standardized values with PR'!$AA$16)</f>
        <v>0.10522989339276581</v>
      </c>
      <c r="M21">
        <f>STANDARDIZE(Dataset!AO21,'standardized values with PR'!$Y$17,'standardized values with PR'!$AA$17)</f>
        <v>0.65819501804261504</v>
      </c>
      <c r="N21">
        <f>STANDARDIZE(Dataset!AP21,'standardized values with PR'!$Y$18,'standardized values with PR'!$AA$18)</f>
        <v>0.3919840371467419</v>
      </c>
      <c r="O21">
        <f>STANDARDIZE(Dataset!AQ21,'standardized values with PR'!$Y$22,'standardized values with PR'!$AA$22)</f>
        <v>-0.21056083159572409</v>
      </c>
      <c r="P21">
        <f>STANDARDIZE(Dataset!AR21,'standardized values with PR'!$Y$23,'standardized values with PR'!$AA$23)</f>
        <v>0.40678860139447104</v>
      </c>
      <c r="Q21">
        <f>STANDARDIZE(Dataset!AS21,'standardized values with PR'!$Y$24,'standardized values with PR'!$AA$24)</f>
        <v>-0.17967441985575922</v>
      </c>
      <c r="R21">
        <f>STANDARDIZE(Dataset!AD21,'standardized values with PR'!$Y$9,'standardized values with PR'!$AA$9)</f>
        <v>0.25492710551955822</v>
      </c>
      <c r="S21">
        <f>STANDARDIZE(Dataset!AE21,'standardized values with PR'!$Y$10,'standardized values with PR'!$AA$10)</f>
        <v>0.4042955257193156</v>
      </c>
      <c r="T21">
        <f>STANDARDIZE(Dataset!AF21,'standardized values with PR'!$Y$11,'standardized values with PR'!$AA$11)</f>
        <v>-0.32940978969763202</v>
      </c>
      <c r="U21">
        <f>STANDARDIZE(Dataset!AG21,'standardized values with PR'!$Y$12,'standardized values with PR'!$AA$12)</f>
        <v>-0.555847666572307</v>
      </c>
      <c r="V21">
        <f>STANDARDIZE(Dataset!AH21,'standardized values with PR'!$Y$13,'standardized values with PR'!$AA$13)</f>
        <v>-0.46749100747181599</v>
      </c>
      <c r="W21" s="41" t="s">
        <v>188</v>
      </c>
      <c r="X21" s="83">
        <v>49</v>
      </c>
      <c r="Y21" s="33">
        <f>AVERAGE(Dataset!$AK$2:$AK$27,Dataset!$AK$29:$AK$41,Dataset!$AK$43:AK$52)</f>
        <v>3.2616297864194455E-2</v>
      </c>
      <c r="Z21" s="33">
        <f>MEDIAN(Dataset!$AK$2:$AK$27,Dataset!$AK$29:$AK$41,Dataset!$AK$43:AK$52)</f>
        <v>1.7896449927777808E-2</v>
      </c>
      <c r="AA21" s="33">
        <f>STDEV(Dataset!$AK$2:$AK$27,Dataset!$AK$29:$AK$41,Dataset!$AK$43:AK$52)</f>
        <v>3.7842716106926626E-2</v>
      </c>
      <c r="AB21" s="33">
        <f>MAX(Dataset!$AK$2:$AK$27,Dataset!$AK$29:$AK$41,Dataset!$AK$43:AK$52)</f>
        <v>0.17110726765120049</v>
      </c>
      <c r="AC21" s="33">
        <f>MIN(Dataset!$AK$2:$AK$27,Dataset!$AK$29:$AK$41,Dataset!$AK$43:AK$52)</f>
        <v>2.8127761920193906E-5</v>
      </c>
      <c r="AE21" s="8" t="s">
        <v>83</v>
      </c>
      <c r="AF21" s="31">
        <f t="shared" si="0"/>
        <v>-1.7716111380212878</v>
      </c>
      <c r="AG21" s="31">
        <f t="shared" si="1"/>
        <v>-1.426436334385873</v>
      </c>
      <c r="AH21" s="31">
        <f t="shared" si="2"/>
        <v>-1.0634771258238378</v>
      </c>
      <c r="AI21" s="31">
        <f t="shared" si="3"/>
        <v>1.1554089485821226</v>
      </c>
      <c r="AJ21" s="31">
        <f t="shared" si="4"/>
        <v>1.6553349942987738E-2</v>
      </c>
      <c r="AK21" s="31">
        <f t="shared" si="5"/>
        <v>-1.0177282959318703</v>
      </c>
    </row>
    <row r="22" spans="1:37" s="8" customFormat="1" ht="15.75" customHeight="1" x14ac:dyDescent="0.25">
      <c r="A22" s="8" t="s">
        <v>84</v>
      </c>
      <c r="B22" s="8" t="s">
        <v>85</v>
      </c>
      <c r="C22" s="8">
        <v>2014</v>
      </c>
      <c r="D22">
        <f>STANDARDIZE(Dataset!X22,'standardized values with PR'!$Y$3,'standardized values with PR'!$AA$3)</f>
        <v>-0.62491827070582817</v>
      </c>
      <c r="E22">
        <f>STANDARDIZE(Dataset!Y22,'standardized values with PR'!$Y$4,'standardized values with PR'!$AA$4)</f>
        <v>-0.64298259330589569</v>
      </c>
      <c r="F22">
        <f>STANDARDIZE(Dataset!Z22,'standardized values with PR'!$Y$5,'standardized values with PR'!$AA$5)</f>
        <v>-0.72428844782465618</v>
      </c>
      <c r="G22">
        <f>STANDARDIZE(Dataset!AA22,'standardized values with PR'!$Y$6,'standardized values with PR'!$AA$6)</f>
        <v>-0.83042151043650303</v>
      </c>
      <c r="H22">
        <f>STANDARDIZE(Dataset!AB22,'standardized values with PR'!$Y$7,'standardized values with PR'!$AA$7)</f>
        <v>-0.57447163194931783</v>
      </c>
      <c r="I22">
        <f>STANDARDIZE(Dataset!AC22,'standardized values with PR'!$Y$8,'standardized values with PR'!$AA$8)</f>
        <v>-1.446516706833286</v>
      </c>
      <c r="J22">
        <f>STANDARDIZE(Dataset!AL22,'standardized values with PR'!$Y$14,'standardized values with PR'!$AA$14)</f>
        <v>-0.71899889227734104</v>
      </c>
      <c r="K22">
        <f>STANDARDIZE(Dataset!AM22,'standardized values with PR'!$Y$15,'standardized values with PR'!$AA$15)</f>
        <v>-0.70877118612278722</v>
      </c>
      <c r="L22">
        <f>STANDARDIZE(Dataset!AN22,'standardized values with PR'!$Y$16,'standardized values with PR'!$AA$16)</f>
        <v>-0.15254291574371359</v>
      </c>
      <c r="M22">
        <f>STANDARDIZE(Dataset!AO22,'standardized values with PR'!$Y$17,'standardized values with PR'!$AA$17)</f>
        <v>-0.11131145415214669</v>
      </c>
      <c r="N22">
        <f>STANDARDIZE(Dataset!AP22,'standardized values with PR'!$Y$18,'standardized values with PR'!$AA$18)</f>
        <v>-0.43307140699713031</v>
      </c>
      <c r="O22">
        <f>STANDARDIZE(Dataset!AQ22,'standardized values with PR'!$Y$22,'standardized values with PR'!$AA$22)</f>
        <v>-0.21793244485026619</v>
      </c>
      <c r="P22">
        <f>STANDARDIZE(Dataset!AR22,'standardized values with PR'!$Y$23,'standardized values with PR'!$AA$23)</f>
        <v>0.31172775883390619</v>
      </c>
      <c r="Q22">
        <f>STANDARDIZE(Dataset!AS22,'standardized values with PR'!$Y$24,'standardized values with PR'!$AA$24)</f>
        <v>-0.18192061830992223</v>
      </c>
      <c r="R22">
        <f>STANDARDIZE(Dataset!AD22,'standardized values with PR'!$Y$9,'standardized values with PR'!$AA$9)</f>
        <v>1.72416297798479</v>
      </c>
      <c r="S22">
        <f>STANDARDIZE(Dataset!AE22,'standardized values with PR'!$Y$10,'standardized values with PR'!$AA$10)</f>
        <v>1.0702720976170721</v>
      </c>
      <c r="T22">
        <f>STANDARDIZE(Dataset!AF22,'standardized values with PR'!$Y$11,'standardized values with PR'!$AA$11)</f>
        <v>-0.14241220190118478</v>
      </c>
      <c r="U22">
        <f>STANDARDIZE(Dataset!AG22,'standardized values with PR'!$Y$12,'standardized values with PR'!$AA$12)</f>
        <v>-0.15994978696453466</v>
      </c>
      <c r="V22">
        <f>STANDARDIZE(Dataset!AH22,'standardized values with PR'!$Y$13,'standardized values with PR'!$AA$13)</f>
        <v>0.10820204831566142</v>
      </c>
      <c r="W22" s="8" t="s">
        <v>191</v>
      </c>
      <c r="X22" s="81">
        <v>51</v>
      </c>
      <c r="Y22" s="33">
        <f>AVERAGE(Dataset!$AQ$2:$AQ$51,Dataset!$AQ$52)</f>
        <v>132.83177246999239</v>
      </c>
      <c r="Z22" s="33">
        <f>MEDIAN(Dataset!$AQ$2:$AQ$51,Dataset!$AQ$52)</f>
        <v>29.288507833536819</v>
      </c>
      <c r="AA22" s="33">
        <f>STDEV(Dataset!$AQ$2:$AQ$51,Dataset!$AQ$52)</f>
        <v>541.50480201013647</v>
      </c>
      <c r="AB22" s="33">
        <f>MAX(Dataset!$AQ$2:$AQ$51,Dataset!$AQ$52)</f>
        <v>3769.1099410278011</v>
      </c>
      <c r="AC22" s="33">
        <f>MIN(Dataset!$AQ$2:$AQ$51,Dataset!$AQ$52)</f>
        <v>0.8825491096879895</v>
      </c>
      <c r="AE22" s="8" t="s">
        <v>85</v>
      </c>
      <c r="AF22" s="31">
        <f t="shared" si="0"/>
        <v>-1.99218931183638</v>
      </c>
      <c r="AG22" s="31">
        <f t="shared" si="1"/>
        <v>-2.874286785233414</v>
      </c>
      <c r="AH22" s="31">
        <f t="shared" si="2"/>
        <v>-1.4048931423858209</v>
      </c>
      <c r="AI22" s="31">
        <f t="shared" si="3"/>
        <v>-0.69692577689299062</v>
      </c>
      <c r="AJ22" s="31">
        <f t="shared" si="4"/>
        <v>-8.8125304326282239E-2</v>
      </c>
      <c r="AK22" s="31">
        <f t="shared" si="5"/>
        <v>-1.5549126456230391</v>
      </c>
    </row>
    <row r="23" spans="1:37" s="8" customFormat="1" ht="15.75" customHeight="1" x14ac:dyDescent="0.25">
      <c r="A23" s="8" t="s">
        <v>86</v>
      </c>
      <c r="B23" s="8" t="s">
        <v>87</v>
      </c>
      <c r="C23" s="8">
        <v>2014</v>
      </c>
      <c r="D23">
        <f>STANDARDIZE(Dataset!X23,'standardized values with PR'!$Y$3,'standardized values with PR'!$AA$3)</f>
        <v>-0.42246305885766872</v>
      </c>
      <c r="E23">
        <f>STANDARDIZE(Dataset!Y23,'standardized values with PR'!$Y$4,'standardized values with PR'!$AA$4)</f>
        <v>-0.43019649914609492</v>
      </c>
      <c r="F23">
        <f>STANDARDIZE(Dataset!Z23,'standardized values with PR'!$Y$5,'standardized values with PR'!$AA$5)</f>
        <v>-0.38316407058718088</v>
      </c>
      <c r="G23">
        <f>STANDARDIZE(Dataset!AA23,'standardized values with PR'!$Y$6,'standardized values with PR'!$AA$6)</f>
        <v>-0.38214606154363273</v>
      </c>
      <c r="H23">
        <f>STANDARDIZE(Dataset!AB23,'standardized values with PR'!$Y$7,'standardized values with PR'!$AA$7)</f>
        <v>-0.27948835628031815</v>
      </c>
      <c r="I23">
        <f>STANDARDIZE(Dataset!AC23,'standardized values with PR'!$Y$8,'standardized values with PR'!$AA$8)</f>
        <v>6.6943243936992372E-2</v>
      </c>
      <c r="J23">
        <f>STANDARDIZE(Dataset!AL23,'standardized values with PR'!$Y$14,'standardized values with PR'!$AA$14)</f>
        <v>-0.35507217348530645</v>
      </c>
      <c r="K23">
        <f>STANDARDIZE(Dataset!AM23,'standardized values with PR'!$Y$15,'standardized values with PR'!$AA$15)</f>
        <v>0.14681407427429907</v>
      </c>
      <c r="L23">
        <f>STANDARDIZE(Dataset!AN23,'standardized values with PR'!$Y$16,'standardized values with PR'!$AA$16)</f>
        <v>-0.31732988315752836</v>
      </c>
      <c r="M23">
        <f>STANDARDIZE(Dataset!AO23,'standardized values with PR'!$Y$17,'standardized values with PR'!$AA$17)</f>
        <v>2.9833495989840308E-2</v>
      </c>
      <c r="N23">
        <f>STANDARDIZE(Dataset!AP23,'standardized values with PR'!$Y$18,'standardized values with PR'!$AA$18)</f>
        <v>-9.7980758110759306E-2</v>
      </c>
      <c r="O23">
        <f>STANDARDIZE(Dataset!AQ23,'standardized values with PR'!$Y$22,'standardized values with PR'!$AA$22)</f>
        <v>-0.14469887161456529</v>
      </c>
      <c r="P23">
        <f>STANDARDIZE(Dataset!AR23,'standardized values with PR'!$Y$23,'standardized values with PR'!$AA$23)</f>
        <v>-0.33405625741003503</v>
      </c>
      <c r="Q23">
        <f>STANDARDIZE(Dataset!AS23,'standardized values with PR'!$Y$24,'standardized values with PR'!$AA$24)</f>
        <v>-0.18313589719136902</v>
      </c>
      <c r="R23">
        <f>STANDARDIZE(Dataset!AD23,'standardized values with PR'!$Y$9,'standardized values with PR'!$AA$9)</f>
        <v>-0.23076747982916343</v>
      </c>
      <c r="S23">
        <f>STANDARDIZE(Dataset!AE23,'standardized values with PR'!$Y$10,'standardized values with PR'!$AA$10)</f>
        <v>-0.59309987898867778</v>
      </c>
      <c r="T23">
        <f>STANDARDIZE(Dataset!AF23,'standardized values with PR'!$Y$11,'standardized values with PR'!$AA$11)</f>
        <v>-5.7894516124659019E-3</v>
      </c>
      <c r="U23">
        <f>STANDARDIZE(Dataset!AG23,'standardized values with PR'!$Y$12,'standardized values with PR'!$AA$12)</f>
        <v>-0.24458022395643275</v>
      </c>
      <c r="V23">
        <f>STANDARDIZE(Dataset!AH23,'standardized values with PR'!$Y$13,'standardized values with PR'!$AA$13)</f>
        <v>-0.15572423117168965</v>
      </c>
      <c r="W23" s="8" t="s">
        <v>189</v>
      </c>
      <c r="X23" s="81">
        <v>51</v>
      </c>
      <c r="Y23" s="33">
        <f>AVERAGE(Dataset!$AR$2:$AR$52)</f>
        <v>3.7503124544701554</v>
      </c>
      <c r="Z23" s="33">
        <f>MEDIAN(Dataset!$AR$2:$AR$52)</f>
        <v>3.5350876297710028</v>
      </c>
      <c r="AA23" s="33">
        <f>STDEV(Dataset!$AR$2:$AR$52)</f>
        <v>1.4256109457094166</v>
      </c>
      <c r="AB23" s="33">
        <f>MAX(Dataset!$AR$2:$AR$52)</f>
        <v>7.2939236774778768</v>
      </c>
      <c r="AC23" s="33">
        <f>MIN(Dataset!$AR$2:$AR$52)</f>
        <v>1.4191542590301387</v>
      </c>
      <c r="AE23" s="8" t="s">
        <v>87</v>
      </c>
      <c r="AF23" s="31">
        <f t="shared" si="0"/>
        <v>-1.2358236285909445</v>
      </c>
      <c r="AG23" s="31">
        <f t="shared" si="1"/>
        <v>-0.14131485527401502</v>
      </c>
      <c r="AH23" s="31">
        <f t="shared" si="2"/>
        <v>-0.66163441782395083</v>
      </c>
      <c r="AI23" s="31">
        <f t="shared" si="3"/>
        <v>-0.38547714527844734</v>
      </c>
      <c r="AJ23" s="31">
        <f t="shared" si="4"/>
        <v>-0.6618910262159694</v>
      </c>
      <c r="AK23" s="31">
        <f t="shared" si="5"/>
        <v>-0.78297861892205656</v>
      </c>
    </row>
    <row r="24" spans="1:37" s="8" customFormat="1" ht="15.75" customHeight="1" x14ac:dyDescent="0.25">
      <c r="A24" s="8" t="s">
        <v>88</v>
      </c>
      <c r="B24" s="8" t="s">
        <v>89</v>
      </c>
      <c r="C24" s="8">
        <v>2014</v>
      </c>
      <c r="D24">
        <f>STANDARDIZE(Dataset!X24,'standardized values with PR'!$Y$3,'standardized values with PR'!$AA$3)</f>
        <v>-0.11201806103324125</v>
      </c>
      <c r="E24">
        <f>STANDARDIZE(Dataset!Y24,'standardized values with PR'!$Y$4,'standardized values with PR'!$AA$4)</f>
        <v>-0.19898830357221012</v>
      </c>
      <c r="F24">
        <f>STANDARDIZE(Dataset!Z24,'standardized values with PR'!$Y$5,'standardized values with PR'!$AA$5)</f>
        <v>-0.22664860741236248</v>
      </c>
      <c r="G24">
        <f>STANDARDIZE(Dataset!AA24,'standardized values with PR'!$Y$6,'standardized values with PR'!$AA$6)</f>
        <v>1.1481188635947938E-2</v>
      </c>
      <c r="H24">
        <f>STANDARDIZE(Dataset!AB24,'standardized values with PR'!$Y$7,'standardized values with PR'!$AA$7)</f>
        <v>-5.1856744966752667E-2</v>
      </c>
      <c r="I24">
        <f>STANDARDIZE(Dataset!AC24,'standardized values with PR'!$Y$8,'standardized values with PR'!$AA$8)</f>
        <v>0.2997901047347844</v>
      </c>
      <c r="J24">
        <f>STANDARDIZE(Dataset!AL24,'standardized values with PR'!$Y$14,'standardized values with PR'!$AA$14)</f>
        <v>-0.28217535156193035</v>
      </c>
      <c r="K24">
        <f>STANDARDIZE(Dataset!AM24,'standardized values with PR'!$Y$15,'standardized values with PR'!$AA$15)</f>
        <v>-0.12640630704089939</v>
      </c>
      <c r="L24">
        <f>STANDARDIZE(Dataset!AN24,'standardized values with PR'!$Y$16,'standardized values with PR'!$AA$16)</f>
        <v>-1.0430694857591887</v>
      </c>
      <c r="M24">
        <f>STANDARDIZE(Dataset!AO24,'standardized values with PR'!$Y$17,'standardized values with PR'!$AA$17)</f>
        <v>-0.2338211545600142</v>
      </c>
      <c r="N24">
        <f>STANDARDIZE(Dataset!AP24,'standardized values with PR'!$Y$18,'standardized values with PR'!$AA$18)</f>
        <v>-0.19767691134615281</v>
      </c>
      <c r="O24">
        <f>STANDARDIZE(Dataset!AQ24,'standardized values with PR'!$Y$22,'standardized values with PR'!$AA$22)</f>
        <v>-0.18944427792032903</v>
      </c>
      <c r="P24">
        <f>STANDARDIZE(Dataset!AR24,'standardized values with PR'!$Y$23,'standardized values with PR'!$AA$23)</f>
        <v>-0.48579931351928912</v>
      </c>
      <c r="Q24">
        <f>STANDARDIZE(Dataset!AS24,'standardized values with PR'!$Y$24,'standardized values with PR'!$AA$24)</f>
        <v>-0.10611095578234898</v>
      </c>
      <c r="R24">
        <f>STANDARDIZE(Dataset!AD24,'standardized values with PR'!$Y$9,'standardized values with PR'!$AA$9)</f>
        <v>-0.30341755508195511</v>
      </c>
      <c r="S24">
        <f>STANDARDIZE(Dataset!AE24,'standardized values with PR'!$Y$10,'standardized values with PR'!$AA$10)</f>
        <v>-0.44357742154854235</v>
      </c>
      <c r="T24">
        <f>STANDARDIZE(Dataset!AF24,'standardized values with PR'!$Y$11,'standardized values with PR'!$AA$11)</f>
        <v>0.83601491965285091</v>
      </c>
      <c r="U24">
        <f>STANDARDIZE(Dataset!AG24,'standardized values with PR'!$Y$12,'standardized values with PR'!$AA$12)</f>
        <v>-8.101346935517284E-2</v>
      </c>
      <c r="V24">
        <f>STANDARDIZE(Dataset!AH24,'standardized values with PR'!$Y$13,'standardized values with PR'!$AA$13)</f>
        <v>-8.2190189605797964E-2</v>
      </c>
      <c r="W24" s="8" t="s">
        <v>190</v>
      </c>
      <c r="X24" s="83">
        <v>49</v>
      </c>
      <c r="Y24" s="17">
        <f>AVERAGE(Dataset!$AS$2:$AS$27,Dataset!$AS$29:$AS$41,Dataset!$AS$43:$AS$52)</f>
        <v>948.23485209849878</v>
      </c>
      <c r="Z24" s="17">
        <f xml:space="preserve"> MEDIAN(Dataset!$AS$2:$AS$27,Dataset!$AS$29:$AS$41,Dataset!$AS$43:$AS$52)</f>
        <v>55.877003765303158</v>
      </c>
      <c r="AA24" s="17">
        <f xml:space="preserve"> STDEV(Dataset!$AS$2:$AS$27,Dataset!$AS$29:$AS$41,Dataset!$AS$43:$AS$52)</f>
        <v>5070.7247507066986</v>
      </c>
      <c r="AB24" s="17">
        <f xml:space="preserve"> MAX(Dataset!$AS$2:$AS$27,Dataset!$AS$29:$AS$41,Dataset!$AS$43:$AS$52)</f>
        <v>35552.064285714281</v>
      </c>
      <c r="AC24" s="17">
        <f xml:space="preserve"> MIN(Dataset!$AS$2:$AS$27,Dataset!$AS$29:$AS$41,Dataset!$AS$43:$AS$52)</f>
        <v>5.8442871172397215</v>
      </c>
      <c r="AE24" s="8" t="s">
        <v>89</v>
      </c>
      <c r="AF24" s="31">
        <f t="shared" si="0"/>
        <v>-0.53765497201781387</v>
      </c>
      <c r="AG24" s="31">
        <f t="shared" si="1"/>
        <v>-0.10879155386804534</v>
      </c>
      <c r="AH24" s="31">
        <f t="shared" si="2"/>
        <v>-4.0375556330804731E-2</v>
      </c>
      <c r="AI24" s="31">
        <f t="shared" si="3"/>
        <v>-1.4745675516653556</v>
      </c>
      <c r="AJ24" s="31">
        <f t="shared" si="4"/>
        <v>-0.78135454722196718</v>
      </c>
      <c r="AK24" s="31">
        <f t="shared" si="5"/>
        <v>-0.43878205019755334</v>
      </c>
    </row>
    <row r="25" spans="1:37" s="8" customFormat="1" ht="15.75" customHeight="1" x14ac:dyDescent="0.25">
      <c r="A25" s="8" t="s">
        <v>90</v>
      </c>
      <c r="B25" s="8" t="s">
        <v>91</v>
      </c>
      <c r="C25" s="8">
        <v>2014</v>
      </c>
      <c r="D25">
        <f>STANDARDIZE(Dataset!X25,'standardized values with PR'!$Y$3,'standardized values with PR'!$AA$3)</f>
        <v>-1.0527392503862091E-2</v>
      </c>
      <c r="E25">
        <f>STANDARDIZE(Dataset!Y25,'standardized values with PR'!$Y$4,'standardized values with PR'!$AA$4)</f>
        <v>-0.13972569682175187</v>
      </c>
      <c r="F25">
        <f>STANDARDIZE(Dataset!Z25,'standardized values with PR'!$Y$5,'standardized values with PR'!$AA$5)</f>
        <v>-0.15089808967247334</v>
      </c>
      <c r="G25">
        <f>STANDARDIZE(Dataset!AA25,'standardized values with PR'!$Y$6,'standardized values with PR'!$AA$6)</f>
        <v>-0.21363048614876601</v>
      </c>
      <c r="H25">
        <f>STANDARDIZE(Dataset!AB25,'standardized values with PR'!$Y$7,'standardized values with PR'!$AA$7)</f>
        <v>-0.19929240806067289</v>
      </c>
      <c r="I25">
        <f>STANDARDIZE(Dataset!AC25,'standardized values with PR'!$Y$8,'standardized values with PR'!$AA$8)</f>
        <v>0.14983719753455724</v>
      </c>
      <c r="J25">
        <f>STANDARDIZE(Dataset!AL25,'standardized values with PR'!$Y$14,'standardized values with PR'!$AA$14)</f>
        <v>-0.23021076993697395</v>
      </c>
      <c r="K25">
        <f>STANDARDIZE(Dataset!AM25,'standardized values with PR'!$Y$15,'standardized values with PR'!$AA$15)</f>
        <v>-0.21605194623288126</v>
      </c>
      <c r="L25">
        <f>STANDARDIZE(Dataset!AN25,'standardized values with PR'!$Y$16,'standardized values with PR'!$AA$16)</f>
        <v>-0.51430448259229733</v>
      </c>
      <c r="M25">
        <f>STANDARDIZE(Dataset!AO25,'standardized values with PR'!$Y$17,'standardized values with PR'!$AA$17)</f>
        <v>-0.77183517923018696</v>
      </c>
      <c r="N25">
        <f>STANDARDIZE(Dataset!AP25,'standardized values with PR'!$Y$18,'standardized values with PR'!$AA$18)</f>
        <v>-0.84131755870177138</v>
      </c>
      <c r="O25">
        <f>STANDARDIZE(Dataset!AQ25,'standardized values with PR'!$Y$22,'standardized values with PR'!$AA$22)</f>
        <v>-0.21014517423673729</v>
      </c>
      <c r="P25">
        <f>STANDARDIZE(Dataset!AR25,'standardized values with PR'!$Y$23,'standardized values with PR'!$AA$23)</f>
        <v>-1.2306986248104066</v>
      </c>
      <c r="Q25">
        <f>STANDARDIZE(Dataset!AS25,'standardized values with PR'!$Y$24,'standardized values with PR'!$AA$24)</f>
        <v>-0.160333864015755</v>
      </c>
      <c r="R25">
        <f>STANDARDIZE(Dataset!AD25,'standardized values with PR'!$Y$9,'standardized values with PR'!$AA$9)</f>
        <v>-0.34421440912796669</v>
      </c>
      <c r="S25">
        <f>STANDARDIZE(Dataset!AE25,'standardized values with PR'!$Y$10,'standardized values with PR'!$AA$10)</f>
        <v>-0.36982299926884193</v>
      </c>
      <c r="T25">
        <f>STANDARDIZE(Dataset!AF25,'standardized values with PR'!$Y$11,'standardized values with PR'!$AA$11)</f>
        <v>0.17892168469841246</v>
      </c>
      <c r="U25">
        <f>STANDARDIZE(Dataset!AG25,'standardized values with PR'!$Y$12,'standardized values with PR'!$AA$12)</f>
        <v>0.34205956212834421</v>
      </c>
      <c r="V25">
        <f>STANDARDIZE(Dataset!AH25,'standardized values with PR'!$Y$13,'standardized values with PR'!$AA$13)</f>
        <v>0.50782984242761819</v>
      </c>
      <c r="AE25" s="8" t="s">
        <v>91</v>
      </c>
      <c r="AF25" s="31">
        <f t="shared" si="0"/>
        <v>-0.3011511789980873</v>
      </c>
      <c r="AG25" s="31">
        <f t="shared" si="1"/>
        <v>-0.29642551863529798</v>
      </c>
      <c r="AH25" s="31">
        <f t="shared" si="2"/>
        <v>-0.4129228942094389</v>
      </c>
      <c r="AI25" s="31">
        <f t="shared" si="3"/>
        <v>-2.1274572205242555</v>
      </c>
      <c r="AJ25" s="31">
        <f t="shared" si="4"/>
        <v>-1.6011776630628989</v>
      </c>
      <c r="AK25" s="31">
        <f t="shared" si="5"/>
        <v>-0.6524319658448795</v>
      </c>
    </row>
    <row r="26" spans="1:37" s="8" customFormat="1" ht="15.75" customHeight="1" x14ac:dyDescent="0.25">
      <c r="A26" s="8" t="s">
        <v>92</v>
      </c>
      <c r="B26" s="8" t="s">
        <v>93</v>
      </c>
      <c r="C26" s="8">
        <v>2014</v>
      </c>
      <c r="D26">
        <f>STANDARDIZE(Dataset!X26,'standardized values with PR'!$Y$3,'standardized values with PR'!$AA$3)</f>
        <v>-4.459203990565188E-2</v>
      </c>
      <c r="E26">
        <f>STANDARDIZE(Dataset!Y26,'standardized values with PR'!$Y$4,'standardized values with PR'!$AA$4)</f>
        <v>0.36046941412935535</v>
      </c>
      <c r="F26">
        <f>STANDARDIZE(Dataset!Z26,'standardized values with PR'!$Y$5,'standardized values with PR'!$AA$5)</f>
        <v>0.28360802874525542</v>
      </c>
      <c r="G26">
        <f>STANDARDIZE(Dataset!AA26,'standardized values with PR'!$Y$6,'standardized values with PR'!$AA$6)</f>
        <v>-0.28364409733875767</v>
      </c>
      <c r="H26">
        <f>STANDARDIZE(Dataset!AB26,'standardized values with PR'!$Y$7,'standardized values with PR'!$AA$7)</f>
        <v>-0.25441730495017068</v>
      </c>
      <c r="I26">
        <f>STANDARDIZE(Dataset!AC26,'standardized values with PR'!$Y$8,'standardized values with PR'!$AA$8)</f>
        <v>0.15847091984087749</v>
      </c>
      <c r="J26">
        <f>STANDARDIZE(Dataset!AL26,'standardized values with PR'!$Y$14,'standardized values with PR'!$AA$14)</f>
        <v>2.536932871024206E-2</v>
      </c>
      <c r="K26">
        <f>STANDARDIZE(Dataset!AM26,'standardized values with PR'!$Y$15,'standardized values with PR'!$AA$15)</f>
        <v>0.25458337268047188</v>
      </c>
      <c r="L26">
        <f>STANDARDIZE(Dataset!AN26,'standardized values with PR'!$Y$16,'standardized values with PR'!$AA$16)</f>
        <v>1.1137990199732646</v>
      </c>
      <c r="M26">
        <f>STANDARDIZE(Dataset!AO26,'standardized values with PR'!$Y$17,'standardized values with PR'!$AA$17)</f>
        <v>1.1524193445935758</v>
      </c>
      <c r="N26">
        <f>STANDARDIZE(Dataset!AP26,'standardized values with PR'!$Y$18,'standardized values with PR'!$AA$18)</f>
        <v>1.0837487640746806</v>
      </c>
      <c r="O26">
        <f>STANDARDIZE(Dataset!AQ26,'standardized values with PR'!$Y$22,'standardized values with PR'!$AA$22)</f>
        <v>-0.12219652789111116</v>
      </c>
      <c r="P26">
        <f>STANDARDIZE(Dataset!AR26,'standardized values with PR'!$Y$23,'standardized values with PR'!$AA$23)</f>
        <v>-0.36330824188546357</v>
      </c>
      <c r="Q26">
        <f>STANDARDIZE(Dataset!AS26,'standardized values with PR'!$Y$24,'standardized values with PR'!$AA$24)</f>
        <v>-0.16683718357153796</v>
      </c>
      <c r="R26">
        <f>STANDARDIZE(Dataset!AD26,'standardized values with PR'!$Y$9,'standardized values with PR'!$AA$9)</f>
        <v>-0.47174067790199498</v>
      </c>
      <c r="S26">
        <f>STANDARDIZE(Dataset!AE26,'standardized values with PR'!$Y$10,'standardized values with PR'!$AA$10)</f>
        <v>-0.63321929889848838</v>
      </c>
      <c r="T26">
        <f>STANDARDIZE(Dataset!AF26,'standardized values with PR'!$Y$11,'standardized values with PR'!$AA$11)</f>
        <v>-0.84993881715228037</v>
      </c>
      <c r="U26">
        <f>STANDARDIZE(Dataset!AG26,'standardized values with PR'!$Y$12,'standardized values with PR'!$AA$12)</f>
        <v>-0.74481595160234615</v>
      </c>
      <c r="V26">
        <f>STANDARDIZE(Dataset!AH26,'standardized values with PR'!$Y$13,'standardized values with PR'!$AA$13)</f>
        <v>-0.80334196408687375</v>
      </c>
      <c r="W26" s="8" t="s">
        <v>163</v>
      </c>
      <c r="AE26" s="8" t="s">
        <v>93</v>
      </c>
      <c r="AF26" s="31">
        <f t="shared" si="0"/>
        <v>0.59948540296895891</v>
      </c>
      <c r="AG26" s="31">
        <f t="shared" si="1"/>
        <v>0.4384236212315914</v>
      </c>
      <c r="AH26" s="31">
        <f t="shared" si="2"/>
        <v>-0.53806140228892829</v>
      </c>
      <c r="AI26" s="31">
        <f t="shared" si="3"/>
        <v>3.3499671286415209</v>
      </c>
      <c r="AJ26" s="31">
        <f t="shared" si="4"/>
        <v>-0.65234195334811274</v>
      </c>
      <c r="AK26" s="31">
        <f t="shared" si="5"/>
        <v>0.3351032798905107</v>
      </c>
    </row>
    <row r="27" spans="1:37" ht="15.75" customHeight="1" x14ac:dyDescent="0.25">
      <c r="A27" t="s">
        <v>94</v>
      </c>
      <c r="B27" s="8" t="s">
        <v>95</v>
      </c>
      <c r="C27" s="8">
        <v>2014</v>
      </c>
      <c r="D27">
        <f>STANDARDIZE(Dataset!X27,'standardized values with PR'!$Y$3,'standardized values with PR'!$AA$3)</f>
        <v>0.59118023698803224</v>
      </c>
      <c r="E27">
        <f>STANDARDIZE(Dataset!Y27,'standardized values with PR'!$Y$4,'standardized values with PR'!$AA$4)</f>
        <v>0.48442587761954087</v>
      </c>
      <c r="F27">
        <f>STANDARDIZE(Dataset!Z27,'standardized values with PR'!$Y$5,'standardized values with PR'!$AA$5)</f>
        <v>0.63796128029065757</v>
      </c>
      <c r="G27">
        <f>STANDARDIZE(Dataset!AA27,'standardized values with PR'!$Y$6,'standardized values with PR'!$AA$6)</f>
        <v>0.16059712850180591</v>
      </c>
      <c r="H27">
        <f>STANDARDIZE(Dataset!AB27,'standardized values with PR'!$Y$7,'standardized values with PR'!$AA$7)</f>
        <v>-2.8843526786053647E-2</v>
      </c>
      <c r="I27">
        <f>STANDARDIZE(Dataset!AC27,'standardized values with PR'!$Y$8,'standardized values with PR'!$AA$8)</f>
        <v>0.6230699927687976</v>
      </c>
      <c r="J27">
        <f>STANDARDIZE(Dataset!AL27,'standardized values with PR'!$Y$14,'standardized values with PR'!$AA$14)</f>
        <v>0.9332121223180192</v>
      </c>
      <c r="K27">
        <f>STANDARDIZE(Dataset!AM27,'standardized values with PR'!$Y$15,'standardized values with PR'!$AA$15)</f>
        <v>0.59893896322230655</v>
      </c>
      <c r="L27">
        <f>STANDARDIZE(Dataset!AN27,'standardized values with PR'!$Y$16,'standardized values with PR'!$AA$16)</f>
        <v>-0.11188587954802696</v>
      </c>
      <c r="M27">
        <f>STANDARDIZE(Dataset!AO27,'standardized values with PR'!$Y$17,'standardized values with PR'!$AA$17)</f>
        <v>-0.36636959446657347</v>
      </c>
      <c r="N27">
        <f>STANDARDIZE(Dataset!AP27,'standardized values with PR'!$Y$18,'standardized values with PR'!$AA$18)</f>
        <v>-0.27666890599920935</v>
      </c>
      <c r="O27">
        <f>STANDARDIZE(Dataset!AQ27,'standardized values with PR'!$Y$22,'standardized values with PR'!$AA$22)</f>
        <v>3.8174095325065396E-2</v>
      </c>
      <c r="P27">
        <f>STANDARDIZE(Dataset!AR27,'standardized values with PR'!$Y$23,'standardized values with PR'!$AA$23)</f>
        <v>-0.79521904878821736</v>
      </c>
      <c r="Q27">
        <f>STANDARDIZE(Dataset!AS27,'standardized values with PR'!$Y$24,'standardized values with PR'!$AA$24)</f>
        <v>-0.16975341871658919</v>
      </c>
      <c r="R27">
        <f>STANDARDIZE(Dataset!AD27,'standardized values with PR'!$Y$9,'standardized values with PR'!$AA$9)</f>
        <v>-0.62386995583940719</v>
      </c>
      <c r="S27">
        <f>STANDARDIZE(Dataset!AE27,'standardized values with PR'!$Y$10,'standardized values with PR'!$AA$10)</f>
        <v>-0.72367562170522626</v>
      </c>
      <c r="T27">
        <f>STANDARDIZE(Dataset!AF27,'standardized values with PR'!$Y$11,'standardized values with PR'!$AA$11)</f>
        <v>-0.17393090064719155</v>
      </c>
      <c r="U27">
        <f>STANDARDIZE(Dataset!AG27,'standardized values with PR'!$Y$12,'standardized values with PR'!$AA$12)</f>
        <v>1.0794313969524388E-2</v>
      </c>
      <c r="V27">
        <f>STANDARDIZE(Dataset!AH27,'standardized values with PR'!$Y$13,'standardized values with PR'!$AA$13)</f>
        <v>-2.1055758287940818E-2</v>
      </c>
      <c r="W27" s="8"/>
      <c r="X27" s="8"/>
      <c r="Y27" s="8"/>
      <c r="Z27" s="8"/>
      <c r="AA27" s="8"/>
      <c r="AE27" s="8" t="s">
        <v>95</v>
      </c>
      <c r="AF27" s="31">
        <f t="shared" si="0"/>
        <v>1.7135673948982306</v>
      </c>
      <c r="AG27" s="31">
        <f t="shared" si="1"/>
        <v>2.1552210783091237</v>
      </c>
      <c r="AH27" s="31">
        <f t="shared" si="2"/>
        <v>0.13175360171575226</v>
      </c>
      <c r="AI27" s="31">
        <f t="shared" si="3"/>
        <v>-0.75492438001380979</v>
      </c>
      <c r="AJ27" s="31">
        <f t="shared" si="4"/>
        <v>-0.92679837217974115</v>
      </c>
      <c r="AK27" s="31">
        <f t="shared" si="5"/>
        <v>0.69321218142645136</v>
      </c>
    </row>
    <row r="28" spans="1:37" x14ac:dyDescent="0.25">
      <c r="A28" t="s">
        <v>96</v>
      </c>
      <c r="B28" s="8" t="s">
        <v>97</v>
      </c>
      <c r="C28" s="8">
        <v>2014</v>
      </c>
      <c r="D28">
        <f>STANDARDIZE(Dataset!X28,'standardized values with PR'!$Y$3,'standardized values with PR'!$AA$3)</f>
        <v>0.43710459946634089</v>
      </c>
      <c r="E28">
        <f>STANDARDIZE(Dataset!Y28,'standardized values with PR'!$Y$4,'standardized values with PR'!$AA$4)</f>
        <v>0.50338822415068019</v>
      </c>
      <c r="F28">
        <f>STANDARDIZE(Dataset!Z28,'standardized values with PR'!$Y$5,'standardized values with PR'!$AA$5)</f>
        <v>0.44267017015953869</v>
      </c>
      <c r="G28">
        <f>STANDARDIZE(Dataset!AA28,'standardized values with PR'!$Y$6,'standardized values with PR'!$AA$6)</f>
        <v>7.5779136780592185E-2</v>
      </c>
      <c r="H28">
        <f>STANDARDIZE(Dataset!AB28,'standardized values with PR'!$Y$7,'standardized values with PR'!$AA$7)</f>
        <v>-0.11196111619151969</v>
      </c>
      <c r="I28">
        <f>STANDARDIZE(Dataset!AC28,'standardized values with PR'!$Y$8,'standardized values with PR'!$AA$8)</f>
        <v>0.53164371463102311</v>
      </c>
      <c r="J28">
        <f>STANDARDIZE(Dataset!AL28,'standardized values with PR'!$Y$14,'standardized values with PR'!$AA$14)</f>
        <v>4.3372793647216854</v>
      </c>
      <c r="K28">
        <f>STANDARDIZE(Dataset!AM28,'standardized values with PR'!$Y$15,'standardized values with PR'!$AA$15)</f>
        <v>5.285983806239817</v>
      </c>
      <c r="L28">
        <f>STANDARDIZE(Dataset!AN28,'standardized values with PR'!$Y$16,'standardized values with PR'!$AA$16)</f>
        <v>0.17669881448322522</v>
      </c>
      <c r="M28">
        <f>STANDARDIZE(Dataset!AO28,'standardized values with PR'!$Y$17,'standardized values with PR'!$AA$17)</f>
        <v>1.3640976556168065</v>
      </c>
      <c r="N28">
        <f>STANDARDIZE(Dataset!AP28,'standardized values with PR'!$Y$18,'standardized values with PR'!$AA$18)</f>
        <v>1.5162213886169769</v>
      </c>
      <c r="O28">
        <f>STANDARDIZE(Dataset!AQ28,'standardized values with PR'!$Y$22,'standardized values with PR'!$AA$22)</f>
        <v>6.7151355907823342</v>
      </c>
      <c r="P28">
        <f>STANDARDIZE(Dataset!AR28,'standardized values with PR'!$Y$23,'standardized values with PR'!$AA$23)</f>
        <v>1.8727226076108006</v>
      </c>
      <c r="Q28" t="e">
        <f>STANDARDIZE(Dataset!AS28,'standardized values with PR'!$Y$24,'standardized values with PR'!$AA$24)</f>
        <v>#DIV/0!</v>
      </c>
      <c r="R28">
        <f>STANDARDIZE(Dataset!AD28,'standardized values with PR'!$Y$9,'standardized values with PR'!$AA$9)</f>
        <v>-0.71723458273527763</v>
      </c>
      <c r="S28">
        <f>STANDARDIZE(Dataset!AE28,'standardized values with PR'!$Y$10,'standardized values with PR'!$AA$10)</f>
        <v>-0.95941661585075033</v>
      </c>
      <c r="T28">
        <f>STANDARDIZE(Dataset!AF28,'standardized values with PR'!$Y$11,'standardized values with PR'!$AA$11)</f>
        <v>-0.37631016003469731</v>
      </c>
      <c r="U28">
        <f>STANDARDIZE(Dataset!AG28,'standardized values with PR'!$Y$12,'standardized values with PR'!$AA$12)</f>
        <v>-0.81461995969643852</v>
      </c>
      <c r="V28">
        <f>STANDARDIZE(Dataset!AH28,'standardized values with PR'!$Y$13,'standardized values with PR'!$AA$13)</f>
        <v>-0.96974411462020682</v>
      </c>
      <c r="AE28" s="8" t="s">
        <v>97</v>
      </c>
      <c r="AF28" s="31">
        <f t="shared" si="0"/>
        <v>1.3831629937765597</v>
      </c>
      <c r="AG28" s="31">
        <f t="shared" si="1"/>
        <v>10.154906885592524</v>
      </c>
      <c r="AH28" s="31">
        <f t="shared" si="2"/>
        <v>-3.6181979410927503E-2</v>
      </c>
      <c r="AI28" s="31">
        <f t="shared" si="3"/>
        <v>3.0570178587170087</v>
      </c>
      <c r="AJ28" s="31">
        <f>SUM(O28,P28)</f>
        <v>8.5878581983931355</v>
      </c>
      <c r="AK28" s="31">
        <f t="shared" si="5"/>
        <v>2.6514216492982383</v>
      </c>
    </row>
    <row r="29" spans="1:37" ht="15.75" customHeight="1" x14ac:dyDescent="0.25">
      <c r="A29" t="s">
        <v>98</v>
      </c>
      <c r="B29" s="8" t="s">
        <v>99</v>
      </c>
      <c r="C29" s="8">
        <v>2014</v>
      </c>
      <c r="D29">
        <f>STANDARDIZE(Dataset!X29,'standardized values with PR'!$Y$3,'standardized values with PR'!$AA$3)</f>
        <v>-0.10191788010915828</v>
      </c>
      <c r="E29">
        <f>STANDARDIZE(Dataset!Y29,'standardized values with PR'!$Y$4,'standardized values with PR'!$AA$4)</f>
        <v>6.4359973406827073E-2</v>
      </c>
      <c r="F29">
        <f>STANDARDIZE(Dataset!Z29,'standardized values with PR'!$Y$5,'standardized values with PR'!$AA$5)</f>
        <v>-3.3230112834084266E-2</v>
      </c>
      <c r="G29">
        <f>STANDARDIZE(Dataset!AA29,'standardized values with PR'!$Y$6,'standardized values with PR'!$AA$6)</f>
        <v>-2.2151890038428716E-3</v>
      </c>
      <c r="H29">
        <f>STANDARDIZE(Dataset!AB29,'standardized values with PR'!$Y$7,'standardized values with PR'!$AA$7)</f>
        <v>-0.19920502246932331</v>
      </c>
      <c r="I29">
        <f>STANDARDIZE(Dataset!AC29,'standardized values with PR'!$Y$8,'standardized values with PR'!$AA$8)</f>
        <v>0.20561927341953778</v>
      </c>
      <c r="J29">
        <f>STANDARDIZE(Dataset!AL29,'standardized values with PR'!$Y$14,'standardized values with PR'!$AA$14)</f>
        <v>-0.39932466808272221</v>
      </c>
      <c r="K29">
        <f>STANDARDIZE(Dataset!AM29,'standardized values with PR'!$Y$15,'standardized values with PR'!$AA$15)</f>
        <v>2.6475190363785227E-2</v>
      </c>
      <c r="L29">
        <f>STANDARDIZE(Dataset!AN29,'standardized values with PR'!$Y$16,'standardized values with PR'!$AA$16)</f>
        <v>1.6079571718752974</v>
      </c>
      <c r="M29">
        <f>STANDARDIZE(Dataset!AO29,'standardized values with PR'!$Y$17,'standardized values with PR'!$AA$17)</f>
        <v>2.5028605501616186</v>
      </c>
      <c r="N29">
        <f>STANDARDIZE(Dataset!AP29,'standardized values with PR'!$Y$18,'standardized values with PR'!$AA$18)</f>
        <v>2.660703990398011</v>
      </c>
      <c r="O29">
        <f>STANDARDIZE(Dataset!AQ29,'standardized values with PR'!$Y$22,'standardized values with PR'!$AA$22)</f>
        <v>-0.18585647678252626</v>
      </c>
      <c r="P29">
        <f>STANDARDIZE(Dataset!AR29,'standardized values with PR'!$Y$23,'standardized values with PR'!$AA$23)</f>
        <v>-1.1666374630481031</v>
      </c>
      <c r="Q29">
        <f>STANDARDIZE(Dataset!AS29,'standardized values with PR'!$Y$24,'standardized values with PR'!$AA$24)</f>
        <v>-0.16904963990992095</v>
      </c>
      <c r="R29">
        <f>STANDARDIZE(Dataset!AD29,'standardized values with PR'!$Y$9,'standardized values with PR'!$AA$9)</f>
        <v>-0.17433922249415715</v>
      </c>
      <c r="S29">
        <f>STANDARDIZE(Dataset!AE29,'standardized values with PR'!$Y$10,'standardized values with PR'!$AA$10)</f>
        <v>-0.5376940090198179</v>
      </c>
      <c r="T29">
        <f>STANDARDIZE(Dataset!AF29,'standardized values with PR'!$Y$11,'standardized values with PR'!$AA$11)</f>
        <v>-1.026484996180945</v>
      </c>
      <c r="U29">
        <f>STANDARDIZE(Dataset!AG29,'standardized values with PR'!$Y$12,'standardized values with PR'!$AA$12)</f>
        <v>-1.1092773220717647</v>
      </c>
      <c r="V29">
        <f>STANDARDIZE(Dataset!AH29,'standardized values with PR'!$Y$13,'standardized values with PR'!$AA$13)</f>
        <v>-1.3042975683395355</v>
      </c>
      <c r="AE29" s="8" t="s">
        <v>99</v>
      </c>
      <c r="AF29" s="31">
        <f t="shared" si="0"/>
        <v>-7.0788019536415475E-2</v>
      </c>
      <c r="AG29" s="31">
        <f t="shared" si="1"/>
        <v>-0.16723020429939919</v>
      </c>
      <c r="AH29" s="31">
        <f t="shared" si="2"/>
        <v>-0.20142021147316619</v>
      </c>
      <c r="AI29" s="31">
        <f t="shared" si="3"/>
        <v>6.771521712434927</v>
      </c>
      <c r="AJ29" s="31">
        <f t="shared" si="4"/>
        <v>-1.5215435797405501</v>
      </c>
      <c r="AK29" s="31">
        <f t="shared" si="5"/>
        <v>0.41300191198614417</v>
      </c>
    </row>
    <row r="30" spans="1:37" ht="15.75" customHeight="1" x14ac:dyDescent="0.25">
      <c r="A30" t="s">
        <v>100</v>
      </c>
      <c r="B30" s="8" t="s">
        <v>101</v>
      </c>
      <c r="C30" s="8">
        <v>2014</v>
      </c>
      <c r="D30">
        <f>STANDARDIZE(Dataset!X30,'standardized values with PR'!$Y$3,'standardized values with PR'!$AA$3)</f>
        <v>-0.54548640650249758</v>
      </c>
      <c r="E30">
        <f>STANDARDIZE(Dataset!Y30,'standardized values with PR'!$Y$4,'standardized values with PR'!$AA$4)</f>
        <v>-0.55095587177508076</v>
      </c>
      <c r="F30">
        <f>STANDARDIZE(Dataset!Z30,'standardized values with PR'!$Y$5,'standardized values with PR'!$AA$5)</f>
        <v>-0.32036641627362195</v>
      </c>
      <c r="G30">
        <f>STANDARDIZE(Dataset!AA30,'standardized values with PR'!$Y$6,'standardized values with PR'!$AA$6)</f>
        <v>-0.4473295667057744</v>
      </c>
      <c r="H30">
        <f>STANDARDIZE(Dataset!AB30,'standardized values with PR'!$Y$7,'standardized values with PR'!$AA$7)</f>
        <v>-0.31248017053775756</v>
      </c>
      <c r="I30">
        <f>STANDARDIZE(Dataset!AC30,'standardized values with PR'!$Y$8,'standardized values with PR'!$AA$8)</f>
        <v>0.12599261758292396</v>
      </c>
      <c r="J30">
        <f>STANDARDIZE(Dataset!AL30,'standardized values with PR'!$Y$14,'standardized values with PR'!$AA$14)</f>
        <v>-0.44921166141457464</v>
      </c>
      <c r="K30">
        <f>STANDARDIZE(Dataset!AM30,'standardized values with PR'!$Y$15,'standardized values with PR'!$AA$15)</f>
        <v>-0.17424591432162748</v>
      </c>
      <c r="L30">
        <f>STANDARDIZE(Dataset!AN30,'standardized values with PR'!$Y$16,'standardized values with PR'!$AA$16)</f>
        <v>3.6285970175476741</v>
      </c>
      <c r="M30">
        <f>STANDARDIZE(Dataset!AO30,'standardized values with PR'!$Y$17,'standardized values with PR'!$AA$17)</f>
        <v>1.8917170420648441</v>
      </c>
      <c r="N30">
        <f>STANDARDIZE(Dataset!AP30,'standardized values with PR'!$Y$18,'standardized values with PR'!$AA$18)</f>
        <v>1.723407797619094</v>
      </c>
      <c r="O30">
        <f>STANDARDIZE(Dataset!AQ30,'standardized values with PR'!$Y$22,'standardized values with PR'!$AA$22)</f>
        <v>-0.16566173874899667</v>
      </c>
      <c r="P30">
        <f>STANDARDIZE(Dataset!AR30,'standardized values with PR'!$Y$23,'standardized values with PR'!$AA$23)</f>
        <v>0.76146785038763398</v>
      </c>
      <c r="Q30">
        <f>STANDARDIZE(Dataset!AS30,'standardized values with PR'!$Y$24,'standardized values with PR'!$AA$24)</f>
        <v>-0.17960051808492525</v>
      </c>
      <c r="R30">
        <f>STANDARDIZE(Dataset!AD30,'standardized values with PR'!$Y$9,'standardized values with PR'!$AA$9)</f>
        <v>-9.4509971217870803E-2</v>
      </c>
      <c r="S30">
        <f>STANDARDIZE(Dataset!AE30,'standardized values with PR'!$Y$10,'standardized values with PR'!$AA$10)</f>
        <v>-0.40637565874603976</v>
      </c>
      <c r="T30">
        <f>STANDARDIZE(Dataset!AF30,'standardized values with PR'!$Y$11,'standardized values with PR'!$AA$11)</f>
        <v>-1.4854104961427059</v>
      </c>
      <c r="U30">
        <f>STANDARDIZE(Dataset!AG30,'standardized values with PR'!$Y$12,'standardized values with PR'!$AA$12)</f>
        <v>-0.96588382159647246</v>
      </c>
      <c r="V30">
        <f>STANDARDIZE(Dataset!AH30,'standardized values with PR'!$Y$13,'standardized values with PR'!$AA$13)</f>
        <v>-1.0403989594894305</v>
      </c>
      <c r="AE30" s="8" t="s">
        <v>101</v>
      </c>
      <c r="AF30" s="31">
        <f t="shared" si="0"/>
        <v>-1.4168086945512004</v>
      </c>
      <c r="AG30" s="31">
        <f t="shared" si="1"/>
        <v>-0.49746495815327818</v>
      </c>
      <c r="AH30" s="31">
        <f t="shared" si="2"/>
        <v>-0.75980973724353196</v>
      </c>
      <c r="AI30" s="31">
        <f t="shared" si="3"/>
        <v>7.2437218572316127</v>
      </c>
      <c r="AJ30" s="31">
        <f t="shared" si="4"/>
        <v>0.41620559355371201</v>
      </c>
      <c r="AK30" s="31">
        <f t="shared" si="5"/>
        <v>-4.5570201864951559E-2</v>
      </c>
    </row>
    <row r="31" spans="1:37" s="8" customFormat="1" ht="15.75" customHeight="1" x14ac:dyDescent="0.25">
      <c r="A31" s="8" t="s">
        <v>102</v>
      </c>
      <c r="B31" s="8" t="s">
        <v>103</v>
      </c>
      <c r="C31" s="8">
        <v>2014</v>
      </c>
      <c r="D31">
        <f>STANDARDIZE(Dataset!X31,'standardized values with PR'!$Y$3,'standardized values with PR'!$AA$3)</f>
        <v>-0.55010416104610182</v>
      </c>
      <c r="E31">
        <f>STANDARDIZE(Dataset!Y31,'standardized values with PR'!$Y$4,'standardized values with PR'!$AA$4)</f>
        <v>-0.36245288978578061</v>
      </c>
      <c r="F31">
        <f>STANDARDIZE(Dataset!Z31,'standardized values with PR'!$Y$5,'standardized values with PR'!$AA$5)</f>
        <v>-0.46229485939885367</v>
      </c>
      <c r="G31">
        <f>STANDARDIZE(Dataset!AA31,'standardized values with PR'!$Y$6,'standardized values with PR'!$AA$6)</f>
        <v>-0.96721002304313775</v>
      </c>
      <c r="H31">
        <f>STANDARDIZE(Dataset!AB31,'standardized values with PR'!$Y$7,'standardized values with PR'!$AA$7)</f>
        <v>-0.61379751186379161</v>
      </c>
      <c r="I31">
        <f>STANDARDIZE(Dataset!AC31,'standardized values with PR'!$Y$8,'standardized values with PR'!$AA$8)</f>
        <v>-2.2777002482508228</v>
      </c>
      <c r="J31">
        <f>STANDARDIZE(Dataset!AL31,'standardized values with PR'!$Y$14,'standardized values with PR'!$AA$14)</f>
        <v>-0.74591129535868839</v>
      </c>
      <c r="K31">
        <f>STANDARDIZE(Dataset!AM31,'standardized values with PR'!$Y$15,'standardized values with PR'!$AA$15)</f>
        <v>-0.7836594191212487</v>
      </c>
      <c r="L31">
        <f>STANDARDIZE(Dataset!AN31,'standardized values with PR'!$Y$16,'standardized values with PR'!$AA$16)</f>
        <v>6.9879698959084873E-3</v>
      </c>
      <c r="M31">
        <f>STANDARDIZE(Dataset!AO31,'standardized values with PR'!$Y$17,'standardized values with PR'!$AA$17)</f>
        <v>0.61705881340829671</v>
      </c>
      <c r="N31">
        <f>STANDARDIZE(Dataset!AP31,'standardized values with PR'!$Y$18,'standardized values with PR'!$AA$18)</f>
        <v>0.18704691607895185</v>
      </c>
      <c r="O31">
        <f>STANDARDIZE(Dataset!AQ31,'standardized values with PR'!$Y$22,'standardized values with PR'!$AA$22)</f>
        <v>-0.22256700934029555</v>
      </c>
      <c r="P31">
        <f>STANDARDIZE(Dataset!AR31,'standardized values with PR'!$Y$23,'standardized values with PR'!$AA$23)</f>
        <v>-0.71309145509716187</v>
      </c>
      <c r="Q31">
        <f>STANDARDIZE(Dataset!AS31,'standardized values with PR'!$Y$24,'standardized values with PR'!$AA$24)</f>
        <v>-0.18548147346204635</v>
      </c>
      <c r="R31">
        <f>STANDARDIZE(Dataset!AD31,'standardized values with PR'!$Y$9,'standardized values with PR'!$AA$9)</f>
        <v>2.6470930511275879</v>
      </c>
      <c r="S31">
        <f>STANDARDIZE(Dataset!AE31,'standardized values with PR'!$Y$10,'standardized values with PR'!$AA$10)</f>
        <v>2.0997457401999395</v>
      </c>
      <c r="T31">
        <f>STANDARDIZE(Dataset!AF31,'standardized values with PR'!$Y$11,'standardized values with PR'!$AA$11)</f>
        <v>-0.26160607341981035</v>
      </c>
      <c r="U31">
        <f>STANDARDIZE(Dataset!AG31,'standardized values with PR'!$Y$12,'standardized values with PR'!$AA$12)</f>
        <v>-0.53819896035819703</v>
      </c>
      <c r="V31">
        <f>STANDARDIZE(Dataset!AH31,'standardized values with PR'!$Y$13,'standardized values with PR'!$AA$13)</f>
        <v>-0.34617743123687028</v>
      </c>
      <c r="AE31" s="8" t="s">
        <v>103</v>
      </c>
      <c r="AF31" s="31">
        <f t="shared" si="0"/>
        <v>-1.3748519102307362</v>
      </c>
      <c r="AG31" s="31">
        <f t="shared" si="1"/>
        <v>-3.8072709627307599</v>
      </c>
      <c r="AH31" s="31">
        <f t="shared" si="2"/>
        <v>-1.5810075349069295</v>
      </c>
      <c r="AI31" s="31">
        <f t="shared" si="3"/>
        <v>0.81109369938315701</v>
      </c>
      <c r="AJ31" s="31">
        <f t="shared" si="4"/>
        <v>-1.1211399378995037</v>
      </c>
      <c r="AK31" s="31">
        <f t="shared" si="5"/>
        <v>-1.4462825259228937</v>
      </c>
    </row>
    <row r="32" spans="1:37" s="8" customFormat="1" ht="15.75" customHeight="1" x14ac:dyDescent="0.25">
      <c r="A32" s="8" t="s">
        <v>104</v>
      </c>
      <c r="B32" s="8" t="s">
        <v>105</v>
      </c>
      <c r="C32" s="8">
        <v>2014</v>
      </c>
      <c r="D32">
        <f>STANDARDIZE(Dataset!X32,'standardized values with PR'!$Y$3,'standardized values with PR'!$AA$3)</f>
        <v>-0.25686902344628232</v>
      </c>
      <c r="E32">
        <f>STANDARDIZE(Dataset!Y32,'standardized values with PR'!$Y$4,'standardized values with PR'!$AA$4)</f>
        <v>-0.32162694185657542</v>
      </c>
      <c r="F32">
        <f>STANDARDIZE(Dataset!Z32,'standardized values with PR'!$Y$5,'standardized values with PR'!$AA$5)</f>
        <v>-0.15799034536859741</v>
      </c>
      <c r="G32">
        <f>STANDARDIZE(Dataset!AA32,'standardized values with PR'!$Y$6,'standardized values with PR'!$AA$6)</f>
        <v>4.2075280425806535E-2</v>
      </c>
      <c r="H32">
        <f>STANDARDIZE(Dataset!AB32,'standardized values with PR'!$Y$7,'standardized values with PR'!$AA$7)</f>
        <v>3.2209499747808464E-2</v>
      </c>
      <c r="I32">
        <f>STANDARDIZE(Dataset!AC32,'standardized values with PR'!$Y$8,'standardized values with PR'!$AA$8)</f>
        <v>0.79899880548943325</v>
      </c>
      <c r="J32">
        <f>STANDARDIZE(Dataset!AL32,'standardized values with PR'!$Y$14,'standardized values with PR'!$AA$14)</f>
        <v>2.6660187937628654E-2</v>
      </c>
      <c r="K32">
        <f>STANDARDIZE(Dataset!AM32,'standardized values with PR'!$Y$15,'standardized values with PR'!$AA$15)</f>
        <v>-0.26335694592117909</v>
      </c>
      <c r="L32">
        <f>STANDARDIZE(Dataset!AN32,'standardized values with PR'!$Y$16,'standardized values with PR'!$AA$16)</f>
        <v>-0.74354090023043051</v>
      </c>
      <c r="M32">
        <f>STANDARDIZE(Dataset!AO32,'standardized values with PR'!$Y$17,'standardized values with PR'!$AA$17)</f>
        <v>-1.6012663078298288</v>
      </c>
      <c r="N32">
        <f>STANDARDIZE(Dataset!AP32,'standardized values with PR'!$Y$18,'standardized values with PR'!$AA$18)</f>
        <v>-1.6231691798830399</v>
      </c>
      <c r="O32">
        <f>STANDARDIZE(Dataset!AQ32,'standardized values with PR'!$Y$22,'standardized values with PR'!$AA$22)</f>
        <v>-0.203317042841623</v>
      </c>
      <c r="P32">
        <f>STANDARDIZE(Dataset!AR32,'standardized values with PR'!$Y$23,'standardized values with PR'!$AA$23)</f>
        <v>-1.3497901093335019</v>
      </c>
      <c r="Q32">
        <f>STANDARDIZE(Dataset!AS32,'standardized values with PR'!$Y$24,'standardized values with PR'!$AA$24)</f>
        <v>-0.18246595672435106</v>
      </c>
      <c r="R32">
        <f>STANDARDIZE(Dataset!AD32,'standardized values with PR'!$Y$9,'standardized values with PR'!$AA$9)</f>
        <v>-0.47218901429917665</v>
      </c>
      <c r="S32">
        <f>STANDARDIZE(Dataset!AE32,'standardized values with PR'!$Y$10,'standardized values with PR'!$AA$10)</f>
        <v>-0.32299050459983675</v>
      </c>
      <c r="T32">
        <f>STANDARDIZE(Dataset!AF32,'standardized values with PR'!$Y$11,'standardized values with PR'!$AA$11)</f>
        <v>0.43008238948970734</v>
      </c>
      <c r="U32">
        <f>STANDARDIZE(Dataset!AG32,'standardized values with PR'!$Y$12,'standardized values with PR'!$AA$12)</f>
        <v>1.4058708526489208</v>
      </c>
      <c r="V32">
        <f>STANDARDIZE(Dataset!AH32,'standardized values with PR'!$Y$13,'standardized values with PR'!$AA$13)</f>
        <v>1.6728001462488806</v>
      </c>
      <c r="AE32" s="8" t="s">
        <v>105</v>
      </c>
      <c r="AF32" s="31">
        <f t="shared" si="0"/>
        <v>-0.7364863106714552</v>
      </c>
      <c r="AG32" s="31">
        <f t="shared" si="1"/>
        <v>0.56230204750588286</v>
      </c>
      <c r="AH32" s="31">
        <f t="shared" si="2"/>
        <v>7.4284780173615006E-2</v>
      </c>
      <c r="AI32" s="31">
        <f t="shared" si="3"/>
        <v>-3.967976387943299</v>
      </c>
      <c r="AJ32" s="31">
        <f t="shared" si="4"/>
        <v>-1.7355731088994757</v>
      </c>
      <c r="AK32" s="31">
        <f t="shared" si="5"/>
        <v>-0.74589528060793331</v>
      </c>
    </row>
    <row r="33" spans="1:37" s="8" customFormat="1" ht="15.75" customHeight="1" x14ac:dyDescent="0.25">
      <c r="A33" s="8" t="s">
        <v>106</v>
      </c>
      <c r="B33" s="8" t="s">
        <v>107</v>
      </c>
      <c r="C33" s="8">
        <v>2014</v>
      </c>
      <c r="D33">
        <f>STANDARDIZE(Dataset!X33,'standardized values with PR'!$Y$3,'standardized values with PR'!$AA$3)</f>
        <v>-0.53058156239848142</v>
      </c>
      <c r="E33">
        <f>STANDARDIZE(Dataset!Y33,'standardized values with PR'!$Y$4,'standardized values with PR'!$AA$4)</f>
        <v>-0.46279964503507637</v>
      </c>
      <c r="F33">
        <f>STANDARDIZE(Dataset!Z33,'standardized values with PR'!$Y$5,'standardized values with PR'!$AA$5)</f>
        <v>-0.55165409880305372</v>
      </c>
      <c r="G33">
        <f>STANDARDIZE(Dataset!AA33,'standardized values with PR'!$Y$6,'standardized values with PR'!$AA$6)</f>
        <v>-0.31669964563481151</v>
      </c>
      <c r="H33">
        <f>STANDARDIZE(Dataset!AB33,'standardized values with PR'!$Y$7,'standardized values with PR'!$AA$7)</f>
        <v>-0.23503940490450148</v>
      </c>
      <c r="I33">
        <f>STANDARDIZE(Dataset!AC33,'standardized values with PR'!$Y$8,'standardized values with PR'!$AA$8)</f>
        <v>-0.41509887455021094</v>
      </c>
      <c r="J33">
        <f>STANDARDIZE(Dataset!AL33,'standardized values with PR'!$Y$14,'standardized values with PR'!$AA$14)</f>
        <v>-0.57463351026907361</v>
      </c>
      <c r="K33">
        <f>STANDARDIZE(Dataset!AM33,'standardized values with PR'!$Y$15,'standardized values with PR'!$AA$15)</f>
        <v>-0.63178480930758374</v>
      </c>
      <c r="L33">
        <f>STANDARDIZE(Dataset!AN33,'standardized values with PR'!$Y$16,'standardized values with PR'!$AA$16)</f>
        <v>-0.32337120276668829</v>
      </c>
      <c r="M33">
        <f>STANDARDIZE(Dataset!AO33,'standardized values with PR'!$Y$17,'standardized values with PR'!$AA$17)</f>
        <v>-0.35068692484214065</v>
      </c>
      <c r="N33">
        <f>STANDARDIZE(Dataset!AP33,'standardized values with PR'!$Y$18,'standardized values with PR'!$AA$18)</f>
        <v>-0.45270507558661011</v>
      </c>
      <c r="O33">
        <f>STANDARDIZE(Dataset!AQ33,'standardized values with PR'!$Y$22,'standardized values with PR'!$AA$22)</f>
        <v>-0.21053090137730165</v>
      </c>
      <c r="P33">
        <f>STANDARDIZE(Dataset!AR33,'standardized values with PR'!$Y$23,'standardized values with PR'!$AA$23)</f>
        <v>0.21604223171702919</v>
      </c>
      <c r="Q33">
        <f>STANDARDIZE(Dataset!AS33,'standardized values with PR'!$Y$24,'standardized values with PR'!$AA$24)</f>
        <v>-0.18425110039443354</v>
      </c>
      <c r="R33">
        <f>STANDARDIZE(Dataset!AD33,'standardized values with PR'!$Y$9,'standardized values with PR'!$AA$9)</f>
        <v>0.25046646477180706</v>
      </c>
      <c r="S33">
        <f>STANDARDIZE(Dataset!AE33,'standardized values with PR'!$Y$10,'standardized values with PR'!$AA$10)</f>
        <v>0.53869852654872175</v>
      </c>
      <c r="T33">
        <f>STANDARDIZE(Dataset!AF33,'standardized values with PR'!$Y$11,'standardized values with PR'!$AA$11)</f>
        <v>-4.9075809709528374E-4</v>
      </c>
      <c r="U33">
        <f>STANDARDIZE(Dataset!AG33,'standardized values with PR'!$Y$12,'standardized values with PR'!$AA$12)</f>
        <v>-4.395075691153743E-4</v>
      </c>
      <c r="V33">
        <f>STANDARDIZE(Dataset!AH33,'standardized values with PR'!$Y$13,'standardized values with PR'!$AA$13)</f>
        <v>0.12525617274245618</v>
      </c>
      <c r="AE33" s="8" t="s">
        <v>107</v>
      </c>
      <c r="AF33" s="31">
        <f t="shared" si="0"/>
        <v>-1.5450353062366116</v>
      </c>
      <c r="AG33" s="31">
        <f t="shared" si="1"/>
        <v>-1.6215171941268682</v>
      </c>
      <c r="AH33" s="31">
        <f t="shared" si="2"/>
        <v>-0.55173905053931294</v>
      </c>
      <c r="AI33" s="31">
        <f t="shared" si="3"/>
        <v>-1.1267632031954391</v>
      </c>
      <c r="AJ33" s="31">
        <f t="shared" si="4"/>
        <v>-0.17873977005470601</v>
      </c>
      <c r="AK33" s="31">
        <f t="shared" si="5"/>
        <v>-1.0265730416092747</v>
      </c>
    </row>
    <row r="34" spans="1:37" s="8" customFormat="1" ht="15.75" customHeight="1" x14ac:dyDescent="0.25">
      <c r="A34" s="8" t="s">
        <v>108</v>
      </c>
      <c r="B34" s="8" t="s">
        <v>109</v>
      </c>
      <c r="C34" s="8">
        <v>2014</v>
      </c>
      <c r="D34">
        <f>STANDARDIZE(Dataset!X34,'standardized values with PR'!$Y$3,'standardized values with PR'!$AA$3)</f>
        <v>-0.45689761766642772</v>
      </c>
      <c r="E34">
        <f>STANDARDIZE(Dataset!Y34,'standardized values with PR'!$Y$4,'standardized values with PR'!$AA$4)</f>
        <v>-0.46687669218604633</v>
      </c>
      <c r="F34">
        <f>STANDARDIZE(Dataset!Z34,'standardized values with PR'!$Y$5,'standardized values with PR'!$AA$5)</f>
        <v>-0.43619957107830892</v>
      </c>
      <c r="G34">
        <f>STANDARDIZE(Dataset!AA34,'standardized values with PR'!$Y$6,'standardized values with PR'!$AA$6)</f>
        <v>0.3190995827291957</v>
      </c>
      <c r="H34">
        <f>STANDARDIZE(Dataset!AB34,'standardized values with PR'!$Y$7,'standardized values with PR'!$AA$7)</f>
        <v>-3.4554619941189538E-2</v>
      </c>
      <c r="I34">
        <f>STANDARDIZE(Dataset!AC34,'standardized values with PR'!$Y$8,'standardized values with PR'!$AA$8)</f>
        <v>4.3267081841808094E-2</v>
      </c>
      <c r="J34">
        <f>STANDARDIZE(Dataset!AL34,'standardized values with PR'!$Y$14,'standardized values with PR'!$AA$14)</f>
        <v>-6.7912026856957446E-3</v>
      </c>
      <c r="K34">
        <f>STANDARDIZE(Dataset!AM34,'standardized values with PR'!$Y$15,'standardized values with PR'!$AA$15)</f>
        <v>0.35133574119320177</v>
      </c>
      <c r="L34">
        <f>STANDARDIZE(Dataset!AN34,'standardized values with PR'!$Y$16,'standardized values with PR'!$AA$16)</f>
        <v>-0.10326259359547961</v>
      </c>
      <c r="M34">
        <f>STANDARDIZE(Dataset!AO34,'standardized values with PR'!$Y$17,'standardized values with PR'!$AA$17)</f>
        <v>0.40843054748505242</v>
      </c>
      <c r="N34">
        <f>STANDARDIZE(Dataset!AP34,'standardized values with PR'!$Y$18,'standardized values with PR'!$AA$18)</f>
        <v>0.62733920692877554</v>
      </c>
      <c r="O34">
        <f>STANDARDIZE(Dataset!AQ34,'standardized values with PR'!$Y$22,'standardized values with PR'!$AA$22)</f>
        <v>-0.16154887142416688</v>
      </c>
      <c r="P34">
        <f>STANDARDIZE(Dataset!AR34,'standardized values with PR'!$Y$23,'standardized values with PR'!$AA$23)</f>
        <v>1.1382012966150796</v>
      </c>
      <c r="Q34">
        <f>STANDARDIZE(Dataset!AS34,'standardized values with PR'!$Y$24,'standardized values with PR'!$AA$24)</f>
        <v>-0.18400588842072529</v>
      </c>
      <c r="R34">
        <f>STANDARDIZE(Dataset!AD34,'standardized values with PR'!$Y$9,'standardized values with PR'!$AA$9)</f>
        <v>-0.46011048149681893</v>
      </c>
      <c r="S34">
        <f>STANDARDIZE(Dataset!AE34,'standardized values with PR'!$Y$10,'standardized values with PR'!$AA$10)</f>
        <v>-0.66351927411784928</v>
      </c>
      <c r="T34">
        <f>STANDARDIZE(Dataset!AF34,'standardized values with PR'!$Y$11,'standardized values with PR'!$AA$11)</f>
        <v>-0.18051208481785372</v>
      </c>
      <c r="U34">
        <f>STANDARDIZE(Dataset!AG34,'standardized values with PR'!$Y$12,'standardized values with PR'!$AA$12)</f>
        <v>-0.44333843291913372</v>
      </c>
      <c r="V34">
        <f>STANDARDIZE(Dataset!AH34,'standardized values with PR'!$Y$13,'standardized values with PR'!$AA$13)</f>
        <v>-0.59326878734755351</v>
      </c>
      <c r="AE34" s="8" t="s">
        <v>109</v>
      </c>
      <c r="AF34" s="31">
        <f t="shared" si="0"/>
        <v>-1.3599738809307829</v>
      </c>
      <c r="AG34" s="31">
        <f t="shared" si="1"/>
        <v>0.3878116203493141</v>
      </c>
      <c r="AH34" s="31">
        <f t="shared" si="2"/>
        <v>0.28454496278800617</v>
      </c>
      <c r="AI34" s="31">
        <f t="shared" si="3"/>
        <v>0.93250716081834839</v>
      </c>
      <c r="AJ34" s="31">
        <f t="shared" si="4"/>
        <v>0.79264653677018748</v>
      </c>
      <c r="AK34" s="31">
        <f t="shared" si="5"/>
        <v>-0.16510358955618681</v>
      </c>
    </row>
    <row r="35" spans="1:37" s="8" customFormat="1" x14ac:dyDescent="0.25">
      <c r="A35" s="8" t="s">
        <v>110</v>
      </c>
      <c r="B35" s="8" t="s">
        <v>111</v>
      </c>
      <c r="C35" s="8">
        <v>2014</v>
      </c>
      <c r="D35">
        <f>STANDARDIZE(Dataset!X35,'standardized values with PR'!$Y$3,'standardized values with PR'!$AA$3)</f>
        <v>0.79493528346225972</v>
      </c>
      <c r="E35">
        <f>STANDARDIZE(Dataset!Y35,'standardized values with PR'!$Y$4,'standardized values with PR'!$AA$4)</f>
        <v>0.75640612820628483</v>
      </c>
      <c r="F35">
        <f>STANDARDIZE(Dataset!Z35,'standardized values with PR'!$Y$5,'standardized values with PR'!$AA$5)</f>
        <v>1.087528104011374</v>
      </c>
      <c r="G35">
        <f>STANDARDIZE(Dataset!AA35,'standardized values with PR'!$Y$6,'standardized values with PR'!$AA$6)</f>
        <v>3.0335734159202317</v>
      </c>
      <c r="H35">
        <f>STANDARDIZE(Dataset!AB35,'standardized values with PR'!$Y$7,'standardized values with PR'!$AA$7)</f>
        <v>2.7962098852202608</v>
      </c>
      <c r="I35">
        <f>STANDARDIZE(Dataset!AC35,'standardized values with PR'!$Y$8,'standardized values with PR'!$AA$8)</f>
        <v>1.0367919378527819</v>
      </c>
      <c r="J35">
        <f>STANDARDIZE(Dataset!AL35,'standardized values with PR'!$Y$14,'standardized values with PR'!$AA$14)</f>
        <v>0.40095225808567181</v>
      </c>
      <c r="K35">
        <f>STANDARDIZE(Dataset!AM35,'standardized values with PR'!$Y$15,'standardized values with PR'!$AA$15)</f>
        <v>-0.56484613495028768</v>
      </c>
      <c r="L35">
        <f>STANDARDIZE(Dataset!AN35,'standardized values with PR'!$Y$16,'standardized values with PR'!$AA$16)</f>
        <v>-1.9842642099339312</v>
      </c>
      <c r="M35">
        <f>STANDARDIZE(Dataset!AO35,'standardized values with PR'!$Y$17,'standardized values with PR'!$AA$17)</f>
        <v>-1.8608280529425425</v>
      </c>
      <c r="N35">
        <f>STANDARDIZE(Dataset!AP35,'standardized values with PR'!$Y$18,'standardized values with PR'!$AA$18)</f>
        <v>-1.2219137003466067</v>
      </c>
      <c r="O35">
        <f>STANDARDIZE(Dataset!AQ35,'standardized values with PR'!$Y$22,'standardized values with PR'!$AA$22)</f>
        <v>-0.19766593629318646</v>
      </c>
      <c r="P35">
        <f>STANDARDIZE(Dataset!AR35,'standardized values with PR'!$Y$23,'standardized values with PR'!$AA$23)</f>
        <v>0.86915597452254267</v>
      </c>
      <c r="Q35">
        <f>STANDARDIZE(Dataset!AS35,'standardized values with PR'!$Y$24,'standardized values with PR'!$AA$24)</f>
        <v>-7.475536638592499E-2</v>
      </c>
      <c r="R35">
        <f>STANDARDIZE(Dataset!AD35,'standardized values with PR'!$Y$9,'standardized values with PR'!$AA$9)</f>
        <v>-0.56214842121110697</v>
      </c>
      <c r="S35">
        <f>STANDARDIZE(Dataset!AE35,'standardized values with PR'!$Y$10,'standardized values with PR'!$AA$10)</f>
        <v>0.25528491110169876</v>
      </c>
      <c r="T35">
        <f>STANDARDIZE(Dataset!AF35,'standardized values with PR'!$Y$11,'standardized values with PR'!$AA$11)</f>
        <v>3.3379231260195428</v>
      </c>
      <c r="U35">
        <f>STANDARDIZE(Dataset!AG35,'standardized values with PR'!$Y$12,'standardized values with PR'!$AA$12)</f>
        <v>1.9288434797742502</v>
      </c>
      <c r="V35">
        <f>STANDARDIZE(Dataset!AH35,'standardized values with PR'!$Y$13,'standardized values with PR'!$AA$13)</f>
        <v>0.99003261035327095</v>
      </c>
      <c r="AE35" s="8" t="s">
        <v>111</v>
      </c>
      <c r="AF35" s="31">
        <f>SUM(D35:F35)</f>
        <v>2.6388695156799185</v>
      </c>
      <c r="AG35" s="31">
        <f t="shared" si="1"/>
        <v>0.87289806098816614</v>
      </c>
      <c r="AH35" s="31">
        <f t="shared" si="2"/>
        <v>5.8297833011404929</v>
      </c>
      <c r="AI35" s="31">
        <f t="shared" si="3"/>
        <v>-5.0670059632230799</v>
      </c>
      <c r="AJ35" s="31">
        <f>SUM(O35:Q35)</f>
        <v>0.59673467184343132</v>
      </c>
      <c r="AK35" s="31">
        <f t="shared" si="5"/>
        <v>2.6042911628479959</v>
      </c>
    </row>
    <row r="36" spans="1:37" s="8" customFormat="1" ht="15.75" customHeight="1" x14ac:dyDescent="0.25">
      <c r="A36" s="8" t="s">
        <v>112</v>
      </c>
      <c r="B36" s="8" t="s">
        <v>113</v>
      </c>
      <c r="C36" s="8">
        <v>2014</v>
      </c>
      <c r="D36">
        <f>STANDARDIZE(Dataset!X36,'standardized values with PR'!$Y$3,'standardized values with PR'!$AA$3)</f>
        <v>0.69496899197055906</v>
      </c>
      <c r="E36">
        <f>STANDARDIZE(Dataset!Y36,'standardized values with PR'!$Y$4,'standardized values with PR'!$AA$4)</f>
        <v>0.80204758359378392</v>
      </c>
      <c r="F36">
        <f>STANDARDIZE(Dataset!Z36,'standardized values with PR'!$Y$5,'standardized values with PR'!$AA$5)</f>
        <v>0.80349159007223303</v>
      </c>
      <c r="G36">
        <f>STANDARDIZE(Dataset!AA36,'standardized values with PR'!$Y$6,'standardized values with PR'!$AA$6)</f>
        <v>-6.285565516104677E-2</v>
      </c>
      <c r="H36">
        <f>STANDARDIZE(Dataset!AB36,'standardized values with PR'!$Y$7,'standardized values with PR'!$AA$7)</f>
        <v>-0.12396666493150964</v>
      </c>
      <c r="I36">
        <f>STANDARDIZE(Dataset!AC36,'standardized values with PR'!$Y$8,'standardized values with PR'!$AA$8)</f>
        <v>0.2051137005385528</v>
      </c>
      <c r="J36">
        <f>STANDARDIZE(Dataset!AL36,'standardized values with PR'!$Y$14,'standardized values with PR'!$AA$14)</f>
        <v>-0.53564545320266777</v>
      </c>
      <c r="K36">
        <f>STANDARDIZE(Dataset!AM36,'standardized values with PR'!$Y$15,'standardized values with PR'!$AA$15)</f>
        <v>-0.5393464916276306</v>
      </c>
      <c r="L36">
        <f>STANDARDIZE(Dataset!AN36,'standardized values with PR'!$Y$16,'standardized values with PR'!$AA$16)</f>
        <v>0.48903794774892262</v>
      </c>
      <c r="M36">
        <f>STANDARDIZE(Dataset!AO36,'standardized values with PR'!$Y$17,'standardized values with PR'!$AA$17)</f>
        <v>0.11237214115980584</v>
      </c>
      <c r="N36">
        <f>STANDARDIZE(Dataset!AP36,'standardized values with PR'!$Y$18,'standardized values with PR'!$AA$18)</f>
        <v>0.13110779137145678</v>
      </c>
      <c r="O36">
        <f>STANDARDIZE(Dataset!AQ36,'standardized values with PR'!$Y$22,'standardized values with PR'!$AA$22)</f>
        <v>-0.19435264320698634</v>
      </c>
      <c r="P36">
        <f>STANDARDIZE(Dataset!AR36,'standardized values with PR'!$Y$23,'standardized values with PR'!$AA$23)</f>
        <v>-1.3219570063686985</v>
      </c>
      <c r="Q36">
        <f>STANDARDIZE(Dataset!AS36,'standardized values with PR'!$Y$24,'standardized values with PR'!$AA$24)</f>
        <v>-0.18075422753692633</v>
      </c>
      <c r="R36">
        <f>STANDARDIZE(Dataset!AD36,'standardized values with PR'!$Y$9,'standardized values with PR'!$AA$9)</f>
        <v>0.11045962594121236</v>
      </c>
      <c r="S36">
        <f>STANDARDIZE(Dataset!AE36,'standardized values with PR'!$Y$10,'standardized values with PR'!$AA$10)</f>
        <v>0.17242302037197407</v>
      </c>
      <c r="T36">
        <f>STANDARDIZE(Dataset!AF36,'standardized values with PR'!$Y$11,'standardized values with PR'!$AA$11)</f>
        <v>-0.56037646594385382</v>
      </c>
      <c r="U36">
        <f>STANDARDIZE(Dataset!AG36,'standardized values with PR'!$Y$12,'standardized values with PR'!$AA$12)</f>
        <v>-0.29121769312261098</v>
      </c>
      <c r="V36">
        <f>STANDARDIZE(Dataset!AH36,'standardized values with PR'!$Y$13,'standardized values with PR'!$AA$13)</f>
        <v>-0.3109222947037128</v>
      </c>
      <c r="AE36" s="8" t="s">
        <v>113</v>
      </c>
      <c r="AF36" s="31">
        <f t="shared" si="0"/>
        <v>2.3005081656365762</v>
      </c>
      <c r="AG36" s="31">
        <f t="shared" si="1"/>
        <v>-0.86987824429174554</v>
      </c>
      <c r="AH36" s="31">
        <f t="shared" si="2"/>
        <v>-0.18682232009255639</v>
      </c>
      <c r="AI36" s="31">
        <f t="shared" si="3"/>
        <v>0.73251788028018527</v>
      </c>
      <c r="AJ36" s="31">
        <f t="shared" si="4"/>
        <v>-1.6970638771126112</v>
      </c>
      <c r="AK36" s="31">
        <f t="shared" si="5"/>
        <v>0.5563476218279898</v>
      </c>
    </row>
    <row r="37" spans="1:37" s="8" customFormat="1" ht="15.75" customHeight="1" x14ac:dyDescent="0.25">
      <c r="A37" s="8" t="s">
        <v>114</v>
      </c>
      <c r="B37" s="8" t="s">
        <v>115</v>
      </c>
      <c r="C37" s="8">
        <v>2014</v>
      </c>
      <c r="D37">
        <f>STANDARDIZE(Dataset!X37,'standardized values with PR'!$Y$3,'standardized values with PR'!$AA$3)</f>
        <v>0.21245701499759226</v>
      </c>
      <c r="E37">
        <f>STANDARDIZE(Dataset!Y37,'standardized values with PR'!$Y$4,'standardized values with PR'!$AA$4)</f>
        <v>0.17343383471576698</v>
      </c>
      <c r="F37">
        <f>STANDARDIZE(Dataset!Z37,'standardized values with PR'!$Y$5,'standardized values with PR'!$AA$5)</f>
        <v>7.5071729893738393E-2</v>
      </c>
      <c r="G37">
        <f>STANDARDIZE(Dataset!AA37,'standardized values with PR'!$Y$6,'standardized values with PR'!$AA$6)</f>
        <v>-4.6070968525063892E-2</v>
      </c>
      <c r="H37">
        <f>STANDARDIZE(Dataset!AB37,'standardized values with PR'!$Y$7,'standardized values with PR'!$AA$7)</f>
        <v>-0.13708658649374211</v>
      </c>
      <c r="I37">
        <f>STANDARDIZE(Dataset!AC37,'standardized values with PR'!$Y$8,'standardized values with PR'!$AA$8)</f>
        <v>0.645005810851074</v>
      </c>
      <c r="J37">
        <f>STANDARDIZE(Dataset!AL37,'standardized values with PR'!$Y$14,'standardized values with PR'!$AA$14)</f>
        <v>0.58158832174091513</v>
      </c>
      <c r="K37">
        <f>STANDARDIZE(Dataset!AM37,'standardized values with PR'!$Y$15,'standardized values with PR'!$AA$15)</f>
        <v>1.2961986229009039</v>
      </c>
      <c r="L37">
        <f>STANDARDIZE(Dataset!AN37,'standardized values with PR'!$Y$16,'standardized values with PR'!$AA$16)</f>
        <v>0.32193772900558693</v>
      </c>
      <c r="M37">
        <f>STANDARDIZE(Dataset!AO37,'standardized values with PR'!$Y$17,'standardized values with PR'!$AA$17)</f>
        <v>0.55329236771400481</v>
      </c>
      <c r="N37">
        <f>STANDARDIZE(Dataset!AP37,'standardized values with PR'!$Y$18,'standardized values with PR'!$AA$18)</f>
        <v>0.59796896053641613</v>
      </c>
      <c r="O37">
        <f>STANDARDIZE(Dataset!AQ37,'standardized values with PR'!$Y$22,'standardized values with PR'!$AA$22)</f>
        <v>-0.11351426080496567</v>
      </c>
      <c r="P37">
        <f>STANDARDIZE(Dataset!AR37,'standardized values with PR'!$Y$23,'standardized values with PR'!$AA$23)</f>
        <v>0.21949840508433413</v>
      </c>
      <c r="Q37">
        <f>STANDARDIZE(Dataset!AS37,'standardized values with PR'!$Y$24,'standardized values with PR'!$AA$24)</f>
        <v>6.8242373891016479</v>
      </c>
      <c r="R37">
        <f>STANDARDIZE(Dataset!AD37,'standardized values with PR'!$Y$9,'standardized values with PR'!$AA$9)</f>
        <v>-0.58835586033720111</v>
      </c>
      <c r="S37">
        <f>STANDARDIZE(Dataset!AE37,'standardized values with PR'!$Y$10,'standardized values with PR'!$AA$10)</f>
        <v>-0.82140181455630656</v>
      </c>
      <c r="T37">
        <f>STANDARDIZE(Dataset!AF37,'standardized values with PR'!$Y$11,'standardized values with PR'!$AA$11)</f>
        <v>-0.4658782582840712</v>
      </c>
      <c r="U37">
        <f>STANDARDIZE(Dataset!AG37,'standardized values with PR'!$Y$12,'standardized values with PR'!$AA$12)</f>
        <v>-0.51017708931091665</v>
      </c>
      <c r="V37">
        <f>STANDARDIZE(Dataset!AH37,'standardized values with PR'!$Y$13,'standardized values with PR'!$AA$13)</f>
        <v>-0.57829124537168553</v>
      </c>
      <c r="AE37" s="8" t="s">
        <v>115</v>
      </c>
      <c r="AF37" s="31">
        <f t="shared" si="0"/>
        <v>0.46096257960709763</v>
      </c>
      <c r="AG37" s="31">
        <f t="shared" si="1"/>
        <v>2.5227927554928931</v>
      </c>
      <c r="AH37" s="31">
        <f t="shared" si="2"/>
        <v>-0.18315755501880601</v>
      </c>
      <c r="AI37" s="31">
        <f t="shared" si="3"/>
        <v>1.4731990572560079</v>
      </c>
      <c r="AJ37" s="31">
        <f t="shared" si="4"/>
        <v>6.9302215333810162</v>
      </c>
      <c r="AK37" s="31">
        <f t="shared" si="5"/>
        <v>1.1898530932188938</v>
      </c>
    </row>
    <row r="38" spans="1:37" s="8" customFormat="1" ht="15.75" customHeight="1" x14ac:dyDescent="0.25">
      <c r="A38" s="8" t="s">
        <v>116</v>
      </c>
      <c r="B38" s="8" t="s">
        <v>117</v>
      </c>
      <c r="C38" s="8">
        <v>2014</v>
      </c>
      <c r="D38">
        <f>STANDARDIZE(Dataset!X38,'standardized values with PR'!$Y$3,'standardized values with PR'!$AA$3)</f>
        <v>-0.16704782583325492</v>
      </c>
      <c r="E38">
        <f>STANDARDIZE(Dataset!Y38,'standardized values with PR'!$Y$4,'standardized values with PR'!$AA$4)</f>
        <v>-0.22003263739756682</v>
      </c>
      <c r="F38">
        <f>STANDARDIZE(Dataset!Z38,'standardized values with PR'!$Y$5,'standardized values with PR'!$AA$5)</f>
        <v>-0.2657739889670489</v>
      </c>
      <c r="G38">
        <f>STANDARDIZE(Dataset!AA38,'standardized values with PR'!$Y$6,'standardized values with PR'!$AA$6)</f>
        <v>-7.5310646954249161E-2</v>
      </c>
      <c r="H38">
        <f>STANDARDIZE(Dataset!AB38,'standardized values with PR'!$Y$7,'standardized values with PR'!$AA$7)</f>
        <v>-0.10802075815463384</v>
      </c>
      <c r="I38">
        <f>STANDARDIZE(Dataset!AC38,'standardized values with PR'!$Y$8,'standardized values with PR'!$AA$8)</f>
        <v>0.3565059598154956</v>
      </c>
      <c r="J38">
        <f>STANDARDIZE(Dataset!AL38,'standardized values with PR'!$Y$14,'standardized values with PR'!$AA$14)</f>
        <v>-0.40101764762131753</v>
      </c>
      <c r="K38">
        <f>STANDARDIZE(Dataset!AM38,'standardized values with PR'!$Y$15,'standardized values with PR'!$AA$15)</f>
        <v>-0.48878364764152515</v>
      </c>
      <c r="L38">
        <f>STANDARDIZE(Dataset!AN38,'standardized values with PR'!$Y$16,'standardized values with PR'!$AA$16)</f>
        <v>-0.12002586595579716</v>
      </c>
      <c r="M38">
        <f>STANDARDIZE(Dataset!AO38,'standardized values with PR'!$Y$17,'standardized values with PR'!$AA$17)</f>
        <v>-0.65374230719392223</v>
      </c>
      <c r="N38">
        <f>STANDARDIZE(Dataset!AP38,'standardized values with PR'!$Y$18,'standardized values with PR'!$AA$18)</f>
        <v>-0.66977094534729842</v>
      </c>
      <c r="O38">
        <f>STANDARDIZE(Dataset!AQ38,'standardized values with PR'!$Y$22,'standardized values with PR'!$AA$22)</f>
        <v>-0.21828633438090966</v>
      </c>
      <c r="P38">
        <f>STANDARDIZE(Dataset!AR38,'standardized values with PR'!$Y$23,'standardized values with PR'!$AA$23)</f>
        <v>-0.68991683008927673</v>
      </c>
      <c r="Q38">
        <f>STANDARDIZE(Dataset!AS38,'standardized values with PR'!$Y$24,'standardized values with PR'!$AA$24)</f>
        <v>-3.9385809987355393E-3</v>
      </c>
      <c r="R38">
        <f>STANDARDIZE(Dataset!AD38,'standardized values with PR'!$Y$9,'standardized values with PR'!$AA$9)</f>
        <v>-0.17194285021672084</v>
      </c>
      <c r="S38">
        <f>STANDARDIZE(Dataset!AE38,'standardized values with PR'!$Y$10,'standardized values with PR'!$AA$10)</f>
        <v>3.6004737980512964E-2</v>
      </c>
      <c r="T38">
        <f>STANDARDIZE(Dataset!AF38,'standardized values with PR'!$Y$11,'standardized values with PR'!$AA$11)</f>
        <v>-0.16768555404011959</v>
      </c>
      <c r="U38">
        <f>STANDARDIZE(Dataset!AG38,'standardized values with PR'!$Y$12,'standardized values with PR'!$AA$12)</f>
        <v>0.23667547580052367</v>
      </c>
      <c r="V38">
        <f>STANDARDIZE(Dataset!AH38,'standardized values with PR'!$Y$13,'standardized values with PR'!$AA$13)</f>
        <v>0.3276088941841277</v>
      </c>
      <c r="AE38" s="8" t="s">
        <v>117</v>
      </c>
      <c r="AF38" s="31">
        <f t="shared" si="0"/>
        <v>-0.65285445219787064</v>
      </c>
      <c r="AG38" s="31">
        <f t="shared" si="1"/>
        <v>-0.53329533544734709</v>
      </c>
      <c r="AH38" s="31">
        <f t="shared" si="2"/>
        <v>-0.18333140510888302</v>
      </c>
      <c r="AI38" s="31">
        <f t="shared" si="3"/>
        <v>-1.4435391184970179</v>
      </c>
      <c r="AJ38" s="31">
        <f t="shared" si="4"/>
        <v>-0.91214174546892202</v>
      </c>
      <c r="AK38" s="31">
        <f t="shared" si="5"/>
        <v>-0.58156266999869244</v>
      </c>
    </row>
    <row r="39" spans="1:37" s="8" customFormat="1" ht="15.75" customHeight="1" x14ac:dyDescent="0.25">
      <c r="A39" s="8" t="s">
        <v>118</v>
      </c>
      <c r="B39" s="8" t="s">
        <v>119</v>
      </c>
      <c r="C39" s="8">
        <v>2014</v>
      </c>
      <c r="D39">
        <f>STANDARDIZE(Dataset!X39,'standardized values with PR'!$Y$3,'standardized values with PR'!$AA$3)</f>
        <v>-0.51387009132701478</v>
      </c>
      <c r="E39">
        <f>STANDARDIZE(Dataset!Y39,'standardized values with PR'!$Y$4,'standardized values with PR'!$AA$4)</f>
        <v>-0.63225559392661035</v>
      </c>
      <c r="F39">
        <f>STANDARDIZE(Dataset!Z39,'standardized values with PR'!$Y$5,'standardized values with PR'!$AA$5)</f>
        <v>-0.64896930109799444</v>
      </c>
      <c r="G39">
        <f>STANDARDIZE(Dataset!AA39,'standardized values with PR'!$Y$6,'standardized values with PR'!$AA$6)</f>
        <v>-0.56597771604334357</v>
      </c>
      <c r="H39">
        <f>STANDARDIZE(Dataset!AB39,'standardized values with PR'!$Y$7,'standardized values with PR'!$AA$7)</f>
        <v>-0.36625775605266969</v>
      </c>
      <c r="I39">
        <f>STANDARDIZE(Dataset!AC39,'standardized values with PR'!$Y$8,'standardized values with PR'!$AA$8)</f>
        <v>-0.12315247471060174</v>
      </c>
      <c r="J39">
        <f>STANDARDIZE(Dataset!AL39,'standardized values with PR'!$Y$14,'standardized values with PR'!$AA$14)</f>
        <v>-0.45600281320593106</v>
      </c>
      <c r="K39">
        <f>STANDARDIZE(Dataset!AM39,'standardized values with PR'!$Y$15,'standardized values with PR'!$AA$15)</f>
        <v>-0.209424492656686</v>
      </c>
      <c r="L39">
        <f>STANDARDIZE(Dataset!AN39,'standardized values with PR'!$Y$16,'standardized values with PR'!$AA$16)</f>
        <v>0.23326297266369181</v>
      </c>
      <c r="M39">
        <f>STANDARDIZE(Dataset!AO39,'standardized values with PR'!$Y$17,'standardized values with PR'!$AA$17)</f>
        <v>0.52221332841122692</v>
      </c>
      <c r="N39">
        <f>STANDARDIZE(Dataset!AP39,'standardized values with PR'!$Y$18,'standardized values with PR'!$AA$18)</f>
        <v>0.3020191849129627</v>
      </c>
      <c r="O39">
        <f>STANDARDIZE(Dataset!AQ39,'standardized values with PR'!$Y$22,'standardized values with PR'!$AA$22)</f>
        <v>-0.18153469310187359</v>
      </c>
      <c r="P39">
        <f>STANDARDIZE(Dataset!AR39,'standardized values with PR'!$Y$23,'standardized values with PR'!$AA$23)</f>
        <v>-0.10972311169922594</v>
      </c>
      <c r="Q39">
        <f>STANDARDIZE(Dataset!AS39,'standardized values with PR'!$Y$24,'standardized values with PR'!$AA$24)</f>
        <v>-0.18008400559360344</v>
      </c>
      <c r="R39">
        <f>STANDARDIZE(Dataset!AD39,'standardized values with PR'!$Y$9,'standardized values with PR'!$AA$9)</f>
        <v>-8.1943631769324538E-2</v>
      </c>
      <c r="S39">
        <f>STANDARDIZE(Dataset!AE39,'standardized values with PR'!$Y$10,'standardized values with PR'!$AA$10)</f>
        <v>-0.37589784442528507</v>
      </c>
      <c r="T39">
        <f>STANDARDIZE(Dataset!AF39,'standardized values with PR'!$Y$11,'standardized values with PR'!$AA$11)</f>
        <v>-0.41207475057426268</v>
      </c>
      <c r="U39">
        <f>STANDARDIZE(Dataset!AG39,'standardized values with PR'!$Y$12,'standardized values with PR'!$AA$12)</f>
        <v>-0.49621763432872429</v>
      </c>
      <c r="V39">
        <f>STANDARDIZE(Dataset!AH39,'standardized values with PR'!$Y$13,'standardized values with PR'!$AA$13)</f>
        <v>-0.41569214525452602</v>
      </c>
      <c r="AE39" s="8" t="s">
        <v>119</v>
      </c>
      <c r="AF39" s="31">
        <f t="shared" si="0"/>
        <v>-1.7950949863516195</v>
      </c>
      <c r="AG39" s="31">
        <f t="shared" si="1"/>
        <v>-0.78857978057321887</v>
      </c>
      <c r="AH39" s="31">
        <f t="shared" si="2"/>
        <v>-0.93223547209601332</v>
      </c>
      <c r="AI39" s="31">
        <f t="shared" si="3"/>
        <v>1.0574954859878813</v>
      </c>
      <c r="AJ39" s="31">
        <f t="shared" si="4"/>
        <v>-0.47134181039470296</v>
      </c>
      <c r="AK39" s="31">
        <f t="shared" si="5"/>
        <v>-0.97480827095467559</v>
      </c>
    </row>
    <row r="40" spans="1:37" s="8" customFormat="1" ht="15.75" customHeight="1" x14ac:dyDescent="0.25">
      <c r="A40" s="8" t="s">
        <v>120</v>
      </c>
      <c r="B40" s="8" t="s">
        <v>121</v>
      </c>
      <c r="C40" s="8">
        <v>2014</v>
      </c>
      <c r="D40">
        <f>STANDARDIZE(Dataset!X40,'standardized values with PR'!$Y$3,'standardized values with PR'!$AA$3)</f>
        <v>-0.47929540997927261</v>
      </c>
      <c r="E40">
        <f>STANDARDIZE(Dataset!Y40,'standardized values with PR'!$Y$4,'standardized values with PR'!$AA$4)</f>
        <v>-0.51776049817266789</v>
      </c>
      <c r="F40">
        <f>STANDARDIZE(Dataset!Z40,'standardized values with PR'!$Y$5,'standardized values with PR'!$AA$5)</f>
        <v>-0.54338195243262388</v>
      </c>
      <c r="G40">
        <f>STANDARDIZE(Dataset!AA40,'standardized values with PR'!$Y$6,'standardized values with PR'!$AA$6)</f>
        <v>-0.14194176685868437</v>
      </c>
      <c r="H40">
        <f>STANDARDIZE(Dataset!AB40,'standardized values with PR'!$Y$7,'standardized values with PR'!$AA$7)</f>
        <v>-0.12514324887894565</v>
      </c>
      <c r="I40">
        <f>STANDARDIZE(Dataset!AC40,'standardized values with PR'!$Y$8,'standardized values with PR'!$AA$8)</f>
        <v>-0.1320709244213529</v>
      </c>
      <c r="J40">
        <f>STANDARDIZE(Dataset!AL40,'standardized values with PR'!$Y$14,'standardized values with PR'!$AA$14)</f>
        <v>-0.49976268813166774</v>
      </c>
      <c r="K40">
        <f>STANDARDIZE(Dataset!AM40,'standardized values with PR'!$Y$15,'standardized values with PR'!$AA$15)</f>
        <v>-0.40181820230388671</v>
      </c>
      <c r="L40">
        <f>STANDARDIZE(Dataset!AN40,'standardized values with PR'!$Y$16,'standardized values with PR'!$AA$16)</f>
        <v>-0.12859509622813783</v>
      </c>
      <c r="M40">
        <f>STANDARDIZE(Dataset!AO40,'standardized values with PR'!$Y$17,'standardized values with PR'!$AA$17)</f>
        <v>-0.4314283869485146</v>
      </c>
      <c r="N40">
        <f>STANDARDIZE(Dataset!AP40,'standardized values with PR'!$Y$18,'standardized values with PR'!$AA$18)</f>
        <v>-0.46529880908105109</v>
      </c>
      <c r="O40">
        <f>STANDARDIZE(Dataset!AQ40,'standardized values with PR'!$Y$22,'standardized values with PR'!$AA$22)</f>
        <v>-0.2100087254005539</v>
      </c>
      <c r="P40">
        <f>STANDARDIZE(Dataset!AR40,'standardized values with PR'!$Y$23,'standardized values with PR'!$AA$23)</f>
        <v>-0.24014440314144442</v>
      </c>
      <c r="Q40">
        <f>STANDARDIZE(Dataset!AS40,'standardized values with PR'!$Y$24,'standardized values with PR'!$AA$24)</f>
        <v>-0.17291069669544334</v>
      </c>
      <c r="R40">
        <f>STANDARDIZE(Dataset!AD40,'standardized values with PR'!$Y$9,'standardized values with PR'!$AA$9)</f>
        <v>1.1871650084967003E-2</v>
      </c>
      <c r="S40">
        <f>STANDARDIZE(Dataset!AE40,'standardized values with PR'!$Y$10,'standardized values with PR'!$AA$10)</f>
        <v>-0.13832471366789514</v>
      </c>
      <c r="T40">
        <f>STANDARDIZE(Dataset!AF40,'standardized values with PR'!$Y$11,'standardized values with PR'!$AA$11)</f>
        <v>-0.16107595492772162</v>
      </c>
      <c r="U40">
        <f>STANDARDIZE(Dataset!AG40,'standardized values with PR'!$Y$12,'standardized values with PR'!$AA$12)</f>
        <v>5.8524929073956261E-2</v>
      </c>
      <c r="V40">
        <f>STANDARDIZE(Dataset!AH40,'standardized values with PR'!$Y$13,'standardized values with PR'!$AA$13)</f>
        <v>0.13629786359500792</v>
      </c>
      <c r="AE40" s="8" t="s">
        <v>121</v>
      </c>
      <c r="AF40" s="31">
        <f t="shared" si="0"/>
        <v>-1.5404378605845643</v>
      </c>
      <c r="AG40" s="31">
        <f t="shared" si="1"/>
        <v>-1.0336518148569074</v>
      </c>
      <c r="AH40" s="31">
        <f t="shared" si="2"/>
        <v>-0.26708501573762999</v>
      </c>
      <c r="AI40" s="31">
        <f t="shared" si="3"/>
        <v>-1.0253222922577034</v>
      </c>
      <c r="AJ40" s="31">
        <f t="shared" si="4"/>
        <v>-0.62306382523744164</v>
      </c>
      <c r="AK40" s="31">
        <f t="shared" si="5"/>
        <v>-0.90083679994797317</v>
      </c>
    </row>
    <row r="41" spans="1:37" s="8" customFormat="1" ht="15.75" customHeight="1" x14ac:dyDescent="0.25">
      <c r="A41" s="8" t="s">
        <v>122</v>
      </c>
      <c r="B41" s="8" t="s">
        <v>123</v>
      </c>
      <c r="C41" s="8">
        <v>2014</v>
      </c>
      <c r="D41">
        <f>STANDARDIZE(Dataset!X41,'standardized values with PR'!$Y$3,'standardized values with PR'!$AA$3)</f>
        <v>-6.5720166296043658E-2</v>
      </c>
      <c r="E41">
        <f>STANDARDIZE(Dataset!Y41,'standardized values with PR'!$Y$4,'standardized values with PR'!$AA$4)</f>
        <v>-8.25113265715018E-2</v>
      </c>
      <c r="F41">
        <f>STANDARDIZE(Dataset!Z41,'standardized values with PR'!$Y$5,'standardized values with PR'!$AA$5)</f>
        <v>8.9544943232759359E-3</v>
      </c>
      <c r="G41">
        <f>STANDARDIZE(Dataset!AA41,'standardized values with PR'!$Y$6,'standardized values with PR'!$AA$6)</f>
        <v>9.4239779685221139E-2</v>
      </c>
      <c r="H41">
        <f>STANDARDIZE(Dataset!AB41,'standardized values with PR'!$Y$7,'standardized values with PR'!$AA$7)</f>
        <v>-0.10453205826218</v>
      </c>
      <c r="I41">
        <f>STANDARDIZE(Dataset!AC41,'standardized values with PR'!$Y$8,'standardized values with PR'!$AA$8)</f>
        <v>0.42305215850284389</v>
      </c>
      <c r="J41">
        <f>STANDARDIZE(Dataset!AL41,'standardized values with PR'!$Y$14,'standardized values with PR'!$AA$14)</f>
        <v>-4.5321460189321795E-2</v>
      </c>
      <c r="K41">
        <f>STANDARDIZE(Dataset!AM41,'standardized values with PR'!$Y$15,'standardized values with PR'!$AA$15)</f>
        <v>0.40435981445707381</v>
      </c>
      <c r="L41">
        <f>STANDARDIZE(Dataset!AN41,'standardized values with PR'!$Y$16,'standardized values with PR'!$AA$16)</f>
        <v>0.12956187388034979</v>
      </c>
      <c r="M41">
        <f>STANDARDIZE(Dataset!AO41,'standardized values with PR'!$Y$17,'standardized values with PR'!$AA$17)</f>
        <v>2.2150594311109724E-2</v>
      </c>
      <c r="N41">
        <f>STANDARDIZE(Dataset!AP41,'standardized values with PR'!$Y$18,'standardized values with PR'!$AA$18)</f>
        <v>0.10769425042973642</v>
      </c>
      <c r="O41">
        <f>STANDARDIZE(Dataset!AQ41,'standardized values with PR'!$Y$22,'standardized values with PR'!$AA$22)</f>
        <v>-0.14873462094243206</v>
      </c>
      <c r="P41">
        <f>STANDARDIZE(Dataset!AR41,'standardized values with PR'!$Y$23,'standardized values with PR'!$AA$23)</f>
        <v>-0.53731392900331421</v>
      </c>
      <c r="Q41">
        <f>STANDARDIZE(Dataset!AS41,'standardized values with PR'!$Y$24,'standardized values with PR'!$AA$24)</f>
        <v>-0.18328488858309716</v>
      </c>
      <c r="R41">
        <f>STANDARDIZE(Dataset!AD41,'standardized values with PR'!$Y$9,'standardized values with PR'!$AA$9)</f>
        <v>-0.44490286949397045</v>
      </c>
      <c r="S41">
        <f>STANDARDIZE(Dataset!AE41,'standardized values with PR'!$Y$10,'standardized values with PR'!$AA$10)</f>
        <v>-0.67827056141163233</v>
      </c>
      <c r="T41">
        <f>STANDARDIZE(Dataset!AF41,'standardized values with PR'!$Y$11,'standardized values with PR'!$AA$11)</f>
        <v>-0.34559836460267684</v>
      </c>
      <c r="U41">
        <f>STANDARDIZE(Dataset!AG41,'standardized values with PR'!$Y$12,'standardized values with PR'!$AA$12)</f>
        <v>-0.24013576271659343</v>
      </c>
      <c r="V41">
        <f>STANDARDIZE(Dataset!AH41,'standardized values with PR'!$Y$13,'standardized values with PR'!$AA$13)</f>
        <v>-0.29587412008705205</v>
      </c>
      <c r="AE41" s="8" t="s">
        <v>123</v>
      </c>
      <c r="AF41" s="31">
        <f t="shared" si="0"/>
        <v>-0.1392769985442695</v>
      </c>
      <c r="AG41" s="31">
        <f t="shared" si="1"/>
        <v>0.78209051277059594</v>
      </c>
      <c r="AH41" s="31">
        <f t="shared" si="2"/>
        <v>-1.0292278576958858E-2</v>
      </c>
      <c r="AI41" s="31">
        <f t="shared" si="3"/>
        <v>0.25940671862119591</v>
      </c>
      <c r="AJ41" s="31">
        <f t="shared" si="4"/>
        <v>-0.86933343852884337</v>
      </c>
      <c r="AK41" s="31">
        <f t="shared" si="5"/>
        <v>-3.5132867706135079E-2</v>
      </c>
    </row>
    <row r="42" spans="1:37" s="8" customFormat="1" x14ac:dyDescent="0.25">
      <c r="A42" s="8" t="s">
        <v>124</v>
      </c>
      <c r="B42" s="8" t="s">
        <v>125</v>
      </c>
      <c r="C42" s="8">
        <v>2014</v>
      </c>
      <c r="D42">
        <f>STANDARDIZE(Dataset!X42,'standardized values with PR'!$Y$3,'standardized values with PR'!$AA$3)</f>
        <v>1.0588821451927743</v>
      </c>
      <c r="E42">
        <f>STANDARDIZE(Dataset!Y42,'standardized values with PR'!$Y$4,'standardized values with PR'!$AA$4)</f>
        <v>1.4934398099467741</v>
      </c>
      <c r="F42">
        <f>STANDARDIZE(Dataset!Z42,'standardized values with PR'!$Y$5,'standardized values with PR'!$AA$5)</f>
        <v>1.3940943292732764</v>
      </c>
      <c r="G42">
        <f>STANDARDIZE(Dataset!AA42,'standardized values with PR'!$Y$6,'standardized values with PR'!$AA$6)</f>
        <v>0.27331252910810633</v>
      </c>
      <c r="H42">
        <f>STANDARDIZE(Dataset!AB42,'standardized values with PR'!$Y$7,'standardized values with PR'!$AA$7)</f>
        <v>-2.9466585722069349E-2</v>
      </c>
      <c r="I42">
        <f>STANDARDIZE(Dataset!AC42,'standardized values with PR'!$Y$8,'standardized values with PR'!$AA$8)</f>
        <v>0.56771226135099995</v>
      </c>
      <c r="J42">
        <f>STANDARDIZE(Dataset!AL42,'standardized values with PR'!$Y$14,'standardized values with PR'!$AA$14)</f>
        <v>0.88640068349979217</v>
      </c>
      <c r="K42">
        <f>STANDARDIZE(Dataset!AM42,'standardized values with PR'!$Y$15,'standardized values with PR'!$AA$15)</f>
        <v>1.0442106151049451</v>
      </c>
      <c r="L42">
        <f>STANDARDIZE(Dataset!AN42,'standardized values with PR'!$Y$16,'standardized values with PR'!$AA$16)</f>
        <v>1.7122521600038798</v>
      </c>
      <c r="M42">
        <f>STANDARDIZE(Dataset!AO42,'standardized values with PR'!$Y$17,'standardized values with PR'!$AA$17)</f>
        <v>0.96311134789410613</v>
      </c>
      <c r="N42">
        <f>STANDARDIZE(Dataset!AP42,'standardized values with PR'!$Y$18,'standardized values with PR'!$AA$18)</f>
        <v>1.2033072999109191</v>
      </c>
      <c r="O42">
        <f>STANDARDIZE(Dataset!AQ42,'standardized values with PR'!$Y$22,'standardized values with PR'!$AA$22)</f>
        <v>-9.8618169503741457E-2</v>
      </c>
      <c r="P42">
        <f>STANDARDIZE(Dataset!AR42,'standardized values with PR'!$Y$23,'standardized values with PR'!$AA$23)</f>
        <v>0.88841228359960456</v>
      </c>
      <c r="Q42" t="e">
        <f>STANDARDIZE(Dataset!AS42,'standardized values with PR'!$Y$24,'standardized values with PR'!$AA$24)</f>
        <v>#DIV/0!</v>
      </c>
      <c r="R42">
        <f>STANDARDIZE(Dataset!AD42,'standardized values with PR'!$Y$9,'standardized values with PR'!$AA$9)</f>
        <v>-0.61998728129983827</v>
      </c>
      <c r="S42">
        <f>STANDARDIZE(Dataset!AE42,'standardized values with PR'!$Y$10,'standardized values with PR'!$AA$10)</f>
        <v>-0.7940217178908836</v>
      </c>
      <c r="T42">
        <f>STANDARDIZE(Dataset!AF42,'standardized values with PR'!$Y$11,'standardized values with PR'!$AA$11)</f>
        <v>-1.0592746692221653</v>
      </c>
      <c r="U42">
        <f>STANDARDIZE(Dataset!AG42,'standardized values with PR'!$Y$12,'standardized values with PR'!$AA$12)</f>
        <v>-0.6770981567074339</v>
      </c>
      <c r="V42">
        <f>STANDARDIZE(Dataset!AH42,'standardized values with PR'!$Y$13,'standardized values with PR'!$AA$13)</f>
        <v>-0.85216376312140696</v>
      </c>
      <c r="AE42" s="8" t="s">
        <v>125</v>
      </c>
      <c r="AF42" s="31">
        <f t="shared" si="0"/>
        <v>3.946416284412825</v>
      </c>
      <c r="AG42" s="31">
        <f t="shared" si="1"/>
        <v>2.498323559955737</v>
      </c>
      <c r="AH42" s="31">
        <f t="shared" si="2"/>
        <v>0.24384594338603699</v>
      </c>
      <c r="AI42" s="31">
        <f t="shared" si="3"/>
        <v>3.8786708078089047</v>
      </c>
      <c r="AJ42" s="31">
        <f>SUM(O42:P42)</f>
        <v>0.78979411409586309</v>
      </c>
      <c r="AK42" s="31">
        <f t="shared" si="5"/>
        <v>2.1832706279156522</v>
      </c>
    </row>
    <row r="43" spans="1:37" s="8" customFormat="1" ht="15.75" customHeight="1" x14ac:dyDescent="0.25">
      <c r="A43" s="8" t="s">
        <v>126</v>
      </c>
      <c r="B43" s="8" t="s">
        <v>127</v>
      </c>
      <c r="C43" s="8">
        <v>2014</v>
      </c>
      <c r="D43">
        <f>STANDARDIZE(Dataset!X43,'standardized values with PR'!$Y$3,'standardized values with PR'!$AA$3)</f>
        <v>0.31543749766567586</v>
      </c>
      <c r="E43">
        <f>STANDARDIZE(Dataset!Y43,'standardized values with PR'!$Y$4,'standardized values with PR'!$AA$4)</f>
        <v>0.4167949741910898</v>
      </c>
      <c r="F43">
        <f>STANDARDIZE(Dataset!Z43,'standardized values with PR'!$Y$5,'standardized values with PR'!$AA$5)</f>
        <v>0.40453158735438804</v>
      </c>
      <c r="G43">
        <f>STANDARDIZE(Dataset!AA43,'standardized values with PR'!$Y$6,'standardized values with PR'!$AA$6)</f>
        <v>-0.32021309013050886</v>
      </c>
      <c r="H43">
        <f>STANDARDIZE(Dataset!AB43,'standardized values with PR'!$Y$7,'standardized values with PR'!$AA$7)</f>
        <v>-0.26657600062699471</v>
      </c>
      <c r="I43">
        <f>STANDARDIZE(Dataset!AC43,'standardized values with PR'!$Y$8,'standardized values with PR'!$AA$8)</f>
        <v>0.25838533093734467</v>
      </c>
      <c r="J43">
        <f>STANDARDIZE(Dataset!AL43,'standardized values with PR'!$Y$14,'standardized values with PR'!$AA$14)</f>
        <v>0.77161349808728652</v>
      </c>
      <c r="K43">
        <f>STANDARDIZE(Dataset!AM43,'standardized values with PR'!$Y$15,'standardized values with PR'!$AA$15)</f>
        <v>1.6918854853739977</v>
      </c>
      <c r="L43">
        <f>STANDARDIZE(Dataset!AN43,'standardized values with PR'!$Y$16,'standardized values with PR'!$AA$16)</f>
        <v>0.55638475048295499</v>
      </c>
      <c r="M43">
        <f>STANDARDIZE(Dataset!AO43,'standardized values with PR'!$Y$17,'standardized values with PR'!$AA$17)</f>
        <v>0.81649420096311309</v>
      </c>
      <c r="N43">
        <f>STANDARDIZE(Dataset!AP43,'standardized values with PR'!$Y$18,'standardized values with PR'!$AA$18)</f>
        <v>0.72354265642371174</v>
      </c>
      <c r="O43">
        <f>STANDARDIZE(Dataset!AQ43,'standardized values with PR'!$Y$22,'standardized values with PR'!$AA$22)</f>
        <v>-3.6427242176625269E-2</v>
      </c>
      <c r="P43">
        <f>STANDARDIZE(Dataset!AR43,'standardized values with PR'!$Y$23,'standardized values with PR'!$AA$23)</f>
        <v>2.2659338263290962</v>
      </c>
      <c r="Q43">
        <f>STANDARDIZE(Dataset!AS43,'standardized values with PR'!$Y$24,'standardized values with PR'!$AA$24)</f>
        <v>-0.14434947240883844</v>
      </c>
      <c r="R43">
        <f>STANDARDIZE(Dataset!AD43,'standardized values with PR'!$Y$9,'standardized values with PR'!$AA$9)</f>
        <v>-0.60949893675326039</v>
      </c>
      <c r="S43">
        <f>STANDARDIZE(Dataset!AE43,'standardized values with PR'!$Y$10,'standardized values with PR'!$AA$10)</f>
        <v>-0.85380306439534581</v>
      </c>
      <c r="T43">
        <f>STANDARDIZE(Dataset!AF43,'standardized values with PR'!$Y$11,'standardized values with PR'!$AA$11)</f>
        <v>-0.59613162987814483</v>
      </c>
      <c r="U43">
        <f>STANDARDIZE(Dataset!AG43,'standardized values with PR'!$Y$12,'standardized values with PR'!$AA$12)</f>
        <v>-0.62080863029489131</v>
      </c>
      <c r="V43">
        <f>STANDARDIZE(Dataset!AH43,'standardized values with PR'!$Y$13,'standardized values with PR'!$AA$13)</f>
        <v>-0.64099659477141691</v>
      </c>
      <c r="AE43" s="8" t="s">
        <v>127</v>
      </c>
      <c r="AF43" s="31">
        <f t="shared" si="0"/>
        <v>1.1367640592111536</v>
      </c>
      <c r="AG43" s="31">
        <f t="shared" si="1"/>
        <v>2.7218843143986291</v>
      </c>
      <c r="AH43" s="31">
        <f t="shared" si="2"/>
        <v>-0.58678909075750352</v>
      </c>
      <c r="AI43" s="31">
        <f t="shared" si="3"/>
        <v>2.0964216078697797</v>
      </c>
      <c r="AJ43" s="31">
        <f t="shared" si="4"/>
        <v>2.0851571117436327</v>
      </c>
      <c r="AK43" s="31">
        <f t="shared" si="5"/>
        <v>0.88283754235998169</v>
      </c>
    </row>
    <row r="44" spans="1:37" s="8" customFormat="1" ht="15.75" customHeight="1" x14ac:dyDescent="0.25">
      <c r="A44" s="8" t="s">
        <v>128</v>
      </c>
      <c r="B44" s="8" t="s">
        <v>129</v>
      </c>
      <c r="C44" s="8">
        <v>2014</v>
      </c>
      <c r="D44">
        <f>STANDARDIZE(Dataset!X44,'standardized values with PR'!$Y$3,'standardized values with PR'!$AA$3)</f>
        <v>-0.34425505404729229</v>
      </c>
      <c r="E44">
        <f>STANDARDIZE(Dataset!Y44,'standardized values with PR'!$Y$4,'standardized values with PR'!$AA$4)</f>
        <v>-0.42675961804354529</v>
      </c>
      <c r="F44">
        <f>STANDARDIZE(Dataset!Z44,'standardized values with PR'!$Y$5,'standardized values with PR'!$AA$5)</f>
        <v>-0.41604011007298308</v>
      </c>
      <c r="G44">
        <f>STANDARDIZE(Dataset!AA44,'standardized values with PR'!$Y$6,'standardized values with PR'!$AA$6)</f>
        <v>0.64220087455879216</v>
      </c>
      <c r="H44">
        <f>STANDARDIZE(Dataset!AB44,'standardized values with PR'!$Y$7,'standardized values with PR'!$AA$7)</f>
        <v>0.1359677784635307</v>
      </c>
      <c r="I44">
        <f>STANDARDIZE(Dataset!AC44,'standardized values with PR'!$Y$8,'standardized values with PR'!$AA$8)</f>
        <v>0.63956369611964425</v>
      </c>
      <c r="J44">
        <f>STANDARDIZE(Dataset!AL44,'standardized values with PR'!$Y$14,'standardized values with PR'!$AA$14)</f>
        <v>-0.10948454755689649</v>
      </c>
      <c r="K44">
        <f>STANDARDIZE(Dataset!AM44,'standardized values with PR'!$Y$15,'standardized values with PR'!$AA$15)</f>
        <v>-0.24999991297308038</v>
      </c>
      <c r="L44">
        <f>STANDARDIZE(Dataset!AN44,'standardized values with PR'!$Y$16,'standardized values with PR'!$AA$16)</f>
        <v>1.168327701177309</v>
      </c>
      <c r="M44">
        <f>STANDARDIZE(Dataset!AO44,'standardized values with PR'!$Y$17,'standardized values with PR'!$AA$17)</f>
        <v>0.41361834465196345</v>
      </c>
      <c r="N44">
        <f>STANDARDIZE(Dataset!AP44,'standardized values with PR'!$Y$18,'standardized values with PR'!$AA$18)</f>
        <v>0.79262684557475593</v>
      </c>
      <c r="O44">
        <f>STANDARDIZE(Dataset!AQ44,'standardized values with PR'!$Y$22,'standardized values with PR'!$AA$22)</f>
        <v>-0.19406156527806009</v>
      </c>
      <c r="P44">
        <f>STANDARDIZE(Dataset!AR44,'standardized values with PR'!$Y$23,'standardized values with PR'!$AA$23)</f>
        <v>1.1285274141698698</v>
      </c>
      <c r="Q44">
        <f>STANDARDIZE(Dataset!AS44,'standardized values with PR'!$Y$24,'standardized values with PR'!$AA$24)</f>
        <v>-0.18337553926627681</v>
      </c>
      <c r="R44">
        <f>STANDARDIZE(Dataset!AD44,'standardized values with PR'!$Y$9,'standardized values with PR'!$AA$9)</f>
        <v>-0.41591016688061772</v>
      </c>
      <c r="S44">
        <f>STANDARDIZE(Dataset!AE44,'standardized values with PR'!$Y$10,'standardized values with PR'!$AA$10)</f>
        <v>-0.33686763293454242</v>
      </c>
      <c r="T44">
        <f>STANDARDIZE(Dataset!AF44,'standardized values with PR'!$Y$11,'standardized values with PR'!$AA$11)</f>
        <v>-0.87134770979655052</v>
      </c>
      <c r="U44">
        <f>STANDARDIZE(Dataset!AG44,'standardized values with PR'!$Y$12,'standardized values with PR'!$AA$12)</f>
        <v>-0.44581200820438022</v>
      </c>
      <c r="V44">
        <f>STANDARDIZE(Dataset!AH44,'standardized values with PR'!$Y$13,'standardized values with PR'!$AA$13)</f>
        <v>-0.67406358241412867</v>
      </c>
      <c r="AE44" s="8" t="s">
        <v>129</v>
      </c>
      <c r="AF44" s="31">
        <f t="shared" si="0"/>
        <v>-1.1870547821638207</v>
      </c>
      <c r="AG44" s="31">
        <f t="shared" si="1"/>
        <v>0.28007923558966735</v>
      </c>
      <c r="AH44" s="31">
        <f t="shared" si="2"/>
        <v>0.77816865302232285</v>
      </c>
      <c r="AI44" s="31">
        <f t="shared" si="3"/>
        <v>2.3745728914040285</v>
      </c>
      <c r="AJ44" s="31">
        <f t="shared" si="4"/>
        <v>0.75109030962553291</v>
      </c>
      <c r="AK44" s="31">
        <f t="shared" si="5"/>
        <v>0.19746409846239865</v>
      </c>
    </row>
    <row r="45" spans="1:37" s="8" customFormat="1" ht="15.75" customHeight="1" x14ac:dyDescent="0.25">
      <c r="A45" s="8" t="s">
        <v>130</v>
      </c>
      <c r="B45" s="8" t="s">
        <v>131</v>
      </c>
      <c r="C45" s="8">
        <v>2014</v>
      </c>
      <c r="D45">
        <f>STANDARDIZE(Dataset!X45,'standardized values with PR'!$Y$3,'standardized values with PR'!$AA$3)</f>
        <v>0.54850676565217782</v>
      </c>
      <c r="E45">
        <f>STANDARDIZE(Dataset!Y45,'standardized values with PR'!$Y$4,'standardized values with PR'!$AA$4)</f>
        <v>0.85877702492491137</v>
      </c>
      <c r="F45">
        <f>STANDARDIZE(Dataset!Z45,'standardized values with PR'!$Y$5,'standardized values with PR'!$AA$5)</f>
        <v>0.81110148520586267</v>
      </c>
      <c r="G45">
        <f>STANDARDIZE(Dataset!AA45,'standardized values with PR'!$Y$6,'standardized values with PR'!$AA$6)</f>
        <v>0.65341646512166252</v>
      </c>
      <c r="H45">
        <f>STANDARDIZE(Dataset!AB45,'standardized values with PR'!$Y$7,'standardized values with PR'!$AA$7)</f>
        <v>3.731841494263835E-2</v>
      </c>
      <c r="I45">
        <f>STANDARDIZE(Dataset!AC45,'standardized values with PR'!$Y$8,'standardized values with PR'!$AA$8)</f>
        <v>0.50705744046786105</v>
      </c>
      <c r="J45">
        <f>STANDARDIZE(Dataset!AL45,'standardized values with PR'!$Y$14,'standardized values with PR'!$AA$14)</f>
        <v>1.447584309319701E-2</v>
      </c>
      <c r="K45">
        <f>STANDARDIZE(Dataset!AM45,'standardized values with PR'!$Y$15,'standardized values with PR'!$AA$15)</f>
        <v>-0.12585299271415235</v>
      </c>
      <c r="L45">
        <f>STANDARDIZE(Dataset!AN45,'standardized values with PR'!$Y$16,'standardized values with PR'!$AA$16)</f>
        <v>2.0601109703605749E-2</v>
      </c>
      <c r="M45">
        <f>STANDARDIZE(Dataset!AO45,'standardized values with PR'!$Y$17,'standardized values with PR'!$AA$17)</f>
        <v>0.63385222941152042</v>
      </c>
      <c r="N45">
        <f>STANDARDIZE(Dataset!AP45,'standardized values with PR'!$Y$18,'standardized values with PR'!$AA$18)</f>
        <v>1.0457191288765926</v>
      </c>
      <c r="O45">
        <f>STANDARDIZE(Dataset!AQ45,'standardized values with PR'!$Y$22,'standardized values with PR'!$AA$22)</f>
        <v>-0.2035528035847865</v>
      </c>
      <c r="P45">
        <f>STANDARDIZE(Dataset!AR45,'standardized values with PR'!$Y$23,'standardized values with PR'!$AA$23)</f>
        <v>-2.4599105160675518E-2</v>
      </c>
      <c r="Q45">
        <f>STANDARDIZE(Dataset!AS45,'standardized values with PR'!$Y$24,'standardized values with PR'!$AA$24)</f>
        <v>-0.10535090401311248</v>
      </c>
      <c r="R45">
        <f>STANDARDIZE(Dataset!AD45,'standardized values with PR'!$Y$9,'standardized values with PR'!$AA$9)</f>
        <v>-0.46790185054093769</v>
      </c>
      <c r="S45">
        <f>STANDARDIZE(Dataset!AE45,'standardized values with PR'!$Y$10,'standardized values with PR'!$AA$10)</f>
        <v>-0.44398202568340167</v>
      </c>
      <c r="T45">
        <f>STANDARDIZE(Dataset!AF45,'standardized values with PR'!$Y$11,'standardized values with PR'!$AA$11)</f>
        <v>-0.27124275254737928</v>
      </c>
      <c r="U45">
        <f>STANDARDIZE(Dataset!AG45,'standardized values with PR'!$Y$12,'standardized values with PR'!$AA$12)</f>
        <v>-0.54544369767223411</v>
      </c>
      <c r="V45">
        <f>STANDARDIZE(Dataset!AH45,'standardized values with PR'!$Y$13,'standardized values with PR'!$AA$13)</f>
        <v>-0.78731795771438673</v>
      </c>
      <c r="AE45" s="8" t="s">
        <v>131</v>
      </c>
      <c r="AF45" s="31">
        <f t="shared" si="0"/>
        <v>2.2183852757829516</v>
      </c>
      <c r="AG45" s="31">
        <f t="shared" si="1"/>
        <v>0.39568029084690576</v>
      </c>
      <c r="AH45" s="31">
        <f t="shared" si="2"/>
        <v>0.69073488006430084</v>
      </c>
      <c r="AI45" s="31">
        <f t="shared" si="3"/>
        <v>1.7001724679917187</v>
      </c>
      <c r="AJ45" s="31">
        <f t="shared" si="4"/>
        <v>-0.33350281275857452</v>
      </c>
      <c r="AK45" s="31">
        <f t="shared" si="5"/>
        <v>1.1944270491545432</v>
      </c>
    </row>
    <row r="46" spans="1:37" s="8" customFormat="1" ht="15.75" customHeight="1" x14ac:dyDescent="0.25">
      <c r="A46" s="8" t="s">
        <v>132</v>
      </c>
      <c r="B46" s="8" t="s">
        <v>133</v>
      </c>
      <c r="C46" s="8">
        <v>2014</v>
      </c>
      <c r="D46">
        <f>STANDARDIZE(Dataset!X46,'standardized values with PR'!$Y$3,'standardized values with PR'!$AA$3)</f>
        <v>-0.34762387659301136</v>
      </c>
      <c r="E46">
        <f>STANDARDIZE(Dataset!Y46,'standardized values with PR'!$Y$4,'standardized values with PR'!$AA$4)</f>
        <v>-0.30343266543731734</v>
      </c>
      <c r="F46">
        <f>STANDARDIZE(Dataset!Z46,'standardized values with PR'!$Y$5,'standardized values with PR'!$AA$5)</f>
        <v>-0.3925317253633509</v>
      </c>
      <c r="G46">
        <f>STANDARDIZE(Dataset!AA46,'standardized values with PR'!$Y$6,'standardized values with PR'!$AA$6)</f>
        <v>-0.22014440906806063</v>
      </c>
      <c r="H46">
        <f>STANDARDIZE(Dataset!AB46,'standardized values with PR'!$Y$7,'standardized values with PR'!$AA$7)</f>
        <v>-0.13045305710566091</v>
      </c>
      <c r="I46">
        <f>STANDARDIZE(Dataset!AC46,'standardized values with PR'!$Y$8,'standardized values with PR'!$AA$8)</f>
        <v>1.3126691956681714E-3</v>
      </c>
      <c r="J46">
        <f>STANDARDIZE(Dataset!AL46,'standardized values with PR'!$Y$14,'standardized values with PR'!$AA$14)</f>
        <v>-0.41380566063267493</v>
      </c>
      <c r="K46">
        <f>STANDARDIZE(Dataset!AM46,'standardized values with PR'!$Y$15,'standardized values with PR'!$AA$15)</f>
        <v>-0.32749932813757304</v>
      </c>
      <c r="L46">
        <f>STANDARDIZE(Dataset!AN46,'standardized values with PR'!$Y$16,'standardized values with PR'!$AA$16)</f>
        <v>-1.3942519560493922</v>
      </c>
      <c r="M46">
        <f>STANDARDIZE(Dataset!AO46,'standardized values with PR'!$Y$17,'standardized values with PR'!$AA$17)</f>
        <v>-1.2133359400913246</v>
      </c>
      <c r="N46">
        <f>STANDARDIZE(Dataset!AP46,'standardized values with PR'!$Y$18,'standardized values with PR'!$AA$18)</f>
        <v>-1.2943115664082236</v>
      </c>
      <c r="O46">
        <f>STANDARDIZE(Dataset!AQ46,'standardized values with PR'!$Y$22,'standardized values with PR'!$AA$22)</f>
        <v>-0.15506653670099871</v>
      </c>
      <c r="P46">
        <f>STANDARDIZE(Dataset!AR46,'standardized values with PR'!$Y$23,'standardized values with PR'!$AA$23)</f>
        <v>1.9229461998068591</v>
      </c>
      <c r="Q46">
        <f>STANDARDIZE(Dataset!AS46,'standardized values with PR'!$Y$24,'standardized values with PR'!$AA$24)</f>
        <v>-0.18388499406347367</v>
      </c>
      <c r="R46">
        <f>STANDARDIZE(Dataset!AD46,'standardized values with PR'!$Y$9,'standardized values with PR'!$AA$9)</f>
        <v>-0.15319402197774204</v>
      </c>
      <c r="S46">
        <f>STANDARDIZE(Dataset!AE46,'standardized values with PR'!$Y$10,'standardized values with PR'!$AA$10)</f>
        <v>-0.24787610926824488</v>
      </c>
      <c r="T46">
        <f>STANDARDIZE(Dataset!AF46,'standardized values with PR'!$Y$11,'standardized values with PR'!$AA$11)</f>
        <v>1.4766402260834368</v>
      </c>
      <c r="U46">
        <f>STANDARDIZE(Dataset!AG46,'standardized values with PR'!$Y$12,'standardized values with PR'!$AA$12)</f>
        <v>0.82234065707414861</v>
      </c>
      <c r="V46">
        <f>STANDARDIZE(Dataset!AH46,'standardized values with PR'!$Y$13,'standardized values with PR'!$AA$13)</f>
        <v>1.0976899692629469</v>
      </c>
      <c r="AE46" s="8" t="s">
        <v>133</v>
      </c>
      <c r="AF46" s="31">
        <f t="shared" si="0"/>
        <v>-1.0435882673936796</v>
      </c>
      <c r="AG46" s="31">
        <f t="shared" si="1"/>
        <v>-0.73999231957457978</v>
      </c>
      <c r="AH46" s="31">
        <f t="shared" si="2"/>
        <v>-0.35059746617372156</v>
      </c>
      <c r="AI46" s="31">
        <f t="shared" si="3"/>
        <v>-3.9018994625489407</v>
      </c>
      <c r="AJ46" s="31">
        <f t="shared" si="4"/>
        <v>1.5839946690423867</v>
      </c>
      <c r="AK46" s="31">
        <f t="shared" si="5"/>
        <v>-0.79375471805670372</v>
      </c>
    </row>
    <row r="47" spans="1:37" s="8" customFormat="1" ht="15.75" customHeight="1" x14ac:dyDescent="0.25">
      <c r="A47" s="8" t="s">
        <v>134</v>
      </c>
      <c r="B47" s="8" t="s">
        <v>135</v>
      </c>
      <c r="C47" s="8">
        <v>2014</v>
      </c>
      <c r="D47">
        <f>STANDARDIZE(Dataset!X47,'standardized values with PR'!$Y$3,'standardized values with PR'!$AA$3)</f>
        <v>-0.23852286026583583</v>
      </c>
      <c r="E47">
        <f>STANDARDIZE(Dataset!Y47,'standardized values with PR'!$Y$4,'standardized values with PR'!$AA$4)</f>
        <v>-0.25869873667506865</v>
      </c>
      <c r="F47">
        <f>STANDARDIZE(Dataset!Z47,'standardized values with PR'!$Y$5,'standardized values with PR'!$AA$5)</f>
        <v>-0.34222355944533878</v>
      </c>
      <c r="G47">
        <f>STANDARDIZE(Dataset!AA47,'standardized values with PR'!$Y$6,'standardized values with PR'!$AA$6)</f>
        <v>-0.19387034870491587</v>
      </c>
      <c r="H47">
        <f>STANDARDIZE(Dataset!AB47,'standardized values with PR'!$Y$7,'standardized values with PR'!$AA$7)</f>
        <v>-0.21624899935919778</v>
      </c>
      <c r="I47">
        <f>STANDARDIZE(Dataset!AC47,'standardized values with PR'!$Y$8,'standardized values with PR'!$AA$8)</f>
        <v>4.2950764313020195E-2</v>
      </c>
      <c r="J47">
        <f>STANDARDIZE(Dataset!AL47,'standardized values with PR'!$Y$14,'standardized values with PR'!$AA$14)</f>
        <v>-0.31003500191798739</v>
      </c>
      <c r="K47">
        <f>STANDARDIZE(Dataset!AM47,'standardized values with PR'!$Y$15,'standardized values with PR'!$AA$15)</f>
        <v>2.7194203290772486E-2</v>
      </c>
      <c r="L47">
        <f>STANDARDIZE(Dataset!AN47,'standardized values with PR'!$Y$16,'standardized values with PR'!$AA$16)</f>
        <v>0.47807671966445048</v>
      </c>
      <c r="M47">
        <f>STANDARDIZE(Dataset!AO47,'standardized values with PR'!$Y$17,'standardized values with PR'!$AA$17)</f>
        <v>1.6524121800094689</v>
      </c>
      <c r="N47">
        <f>STANDARDIZE(Dataset!AP47,'standardized values with PR'!$Y$18,'standardized values with PR'!$AA$18)</f>
        <v>1.6478970913099658</v>
      </c>
      <c r="O47">
        <f>STANDARDIZE(Dataset!AQ47,'standardized values with PR'!$Y$22,'standardized values with PR'!$AA$22)</f>
        <v>-0.13237770433921162</v>
      </c>
      <c r="P47">
        <f>STANDARDIZE(Dataset!AR47,'standardized values with PR'!$Y$23,'standardized values with PR'!$AA$23)</f>
        <v>0.72376875352004877</v>
      </c>
      <c r="Q47">
        <f>STANDARDIZE(Dataset!AS47,'standardized values with PR'!$Y$24,'standardized values with PR'!$AA$24)</f>
        <v>-0.17108584867308338</v>
      </c>
      <c r="R47">
        <f>STANDARDIZE(Dataset!AD47,'standardized values with PR'!$Y$9,'standardized values with PR'!$AA$9)</f>
        <v>-0.27811150211124835</v>
      </c>
      <c r="S47">
        <f>STANDARDIZE(Dataset!AE47,'standardized values with PR'!$Y$10,'standardized values with PR'!$AA$10)</f>
        <v>-0.53806612678493726</v>
      </c>
      <c r="T47">
        <f>STANDARDIZE(Dataset!AF47,'standardized values with PR'!$Y$11,'standardized values with PR'!$AA$11)</f>
        <v>-0.55443559739753923</v>
      </c>
      <c r="U47">
        <f>STANDARDIZE(Dataset!AG47,'standardized values with PR'!$Y$12,'standardized values with PR'!$AA$12)</f>
        <v>-0.90092625470940468</v>
      </c>
      <c r="V47">
        <f>STANDARDIZE(Dataset!AH47,'standardized values with PR'!$Y$13,'standardized values with PR'!$AA$13)</f>
        <v>-1.0152591606074148</v>
      </c>
      <c r="AE47" s="8" t="s">
        <v>135</v>
      </c>
      <c r="AF47" s="31">
        <f t="shared" si="0"/>
        <v>-0.83944515638624329</v>
      </c>
      <c r="AG47" s="31">
        <f t="shared" si="1"/>
        <v>-0.2398900343141947</v>
      </c>
      <c r="AH47" s="31">
        <f t="shared" si="2"/>
        <v>-0.41011934806411365</v>
      </c>
      <c r="AI47" s="31">
        <f t="shared" si="3"/>
        <v>3.7783859909838853</v>
      </c>
      <c r="AJ47" s="31">
        <f t="shared" si="4"/>
        <v>0.42030520050775377</v>
      </c>
      <c r="AK47" s="31">
        <f t="shared" si="5"/>
        <v>-4.146746083988042E-2</v>
      </c>
    </row>
    <row r="48" spans="1:37" s="8" customFormat="1" ht="15.75" customHeight="1" x14ac:dyDescent="0.25">
      <c r="A48" s="8" t="s">
        <v>136</v>
      </c>
      <c r="B48" s="8" t="s">
        <v>137</v>
      </c>
      <c r="C48" s="8">
        <v>2014</v>
      </c>
      <c r="D48">
        <f>STANDARDIZE(Dataset!X48,'standardized values with PR'!$Y$3,'standardized values with PR'!$AA$3)</f>
        <v>-0.206088516655374</v>
      </c>
      <c r="E48">
        <f>STANDARDIZE(Dataset!Y48,'standardized values with PR'!$Y$4,'standardized values with PR'!$AA$4)</f>
        <v>-8.8710535433058249E-2</v>
      </c>
      <c r="F48">
        <f>STANDARDIZE(Dataset!Z48,'standardized values with PR'!$Y$5,'standardized values with PR'!$AA$5)</f>
        <v>3.2458774222774524E-2</v>
      </c>
      <c r="G48">
        <f>STANDARDIZE(Dataset!AA48,'standardized values with PR'!$Y$6,'standardized values with PR'!$AA$6)</f>
        <v>-0.15602113368463272</v>
      </c>
      <c r="H48">
        <f>STANDARDIZE(Dataset!AB48,'standardized values with PR'!$Y$7,'standardized values with PR'!$AA$7)</f>
        <v>-0.13826743468209179</v>
      </c>
      <c r="I48">
        <f>STANDARDIZE(Dataset!AC48,'standardized values with PR'!$Y$8,'standardized values with PR'!$AA$8)</f>
        <v>9.7646787389612702E-2</v>
      </c>
      <c r="J48">
        <f>STANDARDIZE(Dataset!AL48,'standardized values with PR'!$Y$14,'standardized values with PR'!$AA$14)</f>
        <v>-0.58711608221431633</v>
      </c>
      <c r="K48">
        <f>STANDARDIZE(Dataset!AM48,'standardized values with PR'!$Y$15,'standardized values with PR'!$AA$15)</f>
        <v>-0.75729634168832571</v>
      </c>
      <c r="L48">
        <f>STANDARDIZE(Dataset!AN48,'standardized values with PR'!$Y$16,'standardized values with PR'!$AA$16)</f>
        <v>0.327483347141654</v>
      </c>
      <c r="M48">
        <f>STANDARDIZE(Dataset!AO48,'standardized values with PR'!$Y$17,'standardized values with PR'!$AA$17)</f>
        <v>-0.11991345015928985</v>
      </c>
      <c r="N48">
        <f>STANDARDIZE(Dataset!AP48,'standardized values with PR'!$Y$18,'standardized values with PR'!$AA$18)</f>
        <v>-0.15049287316829371</v>
      </c>
      <c r="O48">
        <f>STANDARDIZE(Dataset!AQ48,'standardized values with PR'!$Y$22,'standardized values with PR'!$AA$22)</f>
        <v>-0.21850386068254843</v>
      </c>
      <c r="P48">
        <f>STANDARDIZE(Dataset!AR48,'standardized values with PR'!$Y$23,'standardized values with PR'!$AA$23)</f>
        <v>0.38316684003728679</v>
      </c>
      <c r="Q48">
        <f>STANDARDIZE(Dataset!AS48,'standardized values with PR'!$Y$24,'standardized values with PR'!$AA$24)</f>
        <v>-0.16836490535309742</v>
      </c>
      <c r="R48">
        <f>STANDARDIZE(Dataset!AD48,'standardized values with PR'!$Y$9,'standardized values with PR'!$AA$9)</f>
        <v>0.30526270656802845</v>
      </c>
      <c r="S48">
        <f>STANDARDIZE(Dataset!AE48,'standardized values with PR'!$Y$10,'standardized values with PR'!$AA$10)</f>
        <v>1.6394373381356198</v>
      </c>
      <c r="T48">
        <f>STANDARDIZE(Dataset!AF48,'standardized values with PR'!$Y$11,'standardized values with PR'!$AA$11)</f>
        <v>-0.46915505776827965</v>
      </c>
      <c r="U48">
        <f>STANDARDIZE(Dataset!AG48,'standardized values with PR'!$Y$12,'standardized values with PR'!$AA$12)</f>
        <v>-0.1545803342301216</v>
      </c>
      <c r="V48">
        <f>STANDARDIZE(Dataset!AH48,'standardized values with PR'!$Y$13,'standardized values with PR'!$AA$13)</f>
        <v>-0.11747935820431739</v>
      </c>
      <c r="AE48" s="8" t="s">
        <v>137</v>
      </c>
      <c r="AF48" s="31">
        <f t="shared" si="0"/>
        <v>-0.26234027786565772</v>
      </c>
      <c r="AG48" s="31">
        <f t="shared" si="1"/>
        <v>-1.2467656365130293</v>
      </c>
      <c r="AH48" s="31">
        <f t="shared" si="2"/>
        <v>-0.29428856836672451</v>
      </c>
      <c r="AI48" s="31">
        <f t="shared" si="3"/>
        <v>5.7077023814070454E-2</v>
      </c>
      <c r="AJ48" s="31">
        <f t="shared" si="4"/>
        <v>-3.7019259983590569E-3</v>
      </c>
      <c r="AK48" s="31">
        <f t="shared" si="5"/>
        <v>-0.31415915005106554</v>
      </c>
    </row>
    <row r="49" spans="1:37" s="8" customFormat="1" ht="15.75" customHeight="1" x14ac:dyDescent="0.25">
      <c r="A49" s="8" t="s">
        <v>138</v>
      </c>
      <c r="B49" s="8" t="s">
        <v>139</v>
      </c>
      <c r="C49" s="8">
        <v>2014</v>
      </c>
      <c r="D49">
        <f>STANDARDIZE(Dataset!X49,'standardized values with PR'!$Y$3,'standardized values with PR'!$AA$3)</f>
        <v>-0.28006474866714448</v>
      </c>
      <c r="E49">
        <f>STANDARDIZE(Dataset!Y49,'standardized values with PR'!$Y$4,'standardized values with PR'!$AA$4)</f>
        <v>-0.42480834406850032</v>
      </c>
      <c r="F49">
        <f>STANDARDIZE(Dataset!Z49,'standardized values with PR'!$Y$5,'standardized values with PR'!$AA$5)</f>
        <v>-0.45657564021826402</v>
      </c>
      <c r="G49">
        <f>STANDARDIZE(Dataset!AA49,'standardized values with PR'!$Y$6,'standardized values with PR'!$AA$6)</f>
        <v>-0.3097725947020834</v>
      </c>
      <c r="H49">
        <f>STANDARDIZE(Dataset!AB49,'standardized values with PR'!$Y$7,'standardized values with PR'!$AA$7)</f>
        <v>-0.2307021631620739</v>
      </c>
      <c r="I49">
        <f>STANDARDIZE(Dataset!AC49,'standardized values with PR'!$Y$8,'standardized values with PR'!$AA$8)</f>
        <v>0.24078683317073057</v>
      </c>
      <c r="J49">
        <f>STANDARDIZE(Dataset!AL49,'standardized values with PR'!$Y$14,'standardized values with PR'!$AA$14)</f>
        <v>-0.16832550679050762</v>
      </c>
      <c r="K49">
        <f>STANDARDIZE(Dataset!AM49,'standardized values with PR'!$Y$15,'standardized values with PR'!$AA$15)</f>
        <v>-0.33088377161350258</v>
      </c>
      <c r="L49">
        <f>STANDARDIZE(Dataset!AN49,'standardized values with PR'!$Y$16,'standardized values with PR'!$AA$16)</f>
        <v>-0.84098542503166751</v>
      </c>
      <c r="M49">
        <f>STANDARDIZE(Dataset!AO49,'standardized values with PR'!$Y$17,'standardized values with PR'!$AA$17)</f>
        <v>-1.0585841060924235</v>
      </c>
      <c r="N49">
        <f>STANDARDIZE(Dataset!AP49,'standardized values with PR'!$Y$18,'standardized values with PR'!$AA$18)</f>
        <v>-1.1650376362711723</v>
      </c>
      <c r="O49">
        <f>STANDARDIZE(Dataset!AQ49,'standardized values with PR'!$Y$22,'standardized values with PR'!$AA$22)</f>
        <v>-0.18568351552260426</v>
      </c>
      <c r="P49">
        <f>STANDARDIZE(Dataset!AR49,'standardized values with PR'!$Y$23,'standardized values with PR'!$AA$23)</f>
        <v>-0.264951761327679</v>
      </c>
      <c r="Q49">
        <f>STANDARDIZE(Dataset!AS49,'standardized values with PR'!$Y$24,'standardized values with PR'!$AA$24)</f>
        <v>-0.18218041321850953</v>
      </c>
      <c r="R49">
        <f>STANDARDIZE(Dataset!AD49,'standardized values with PR'!$Y$9,'standardized values with PR'!$AA$9)</f>
        <v>-0.38429228605002225</v>
      </c>
      <c r="S49">
        <f>STANDARDIZE(Dataset!AE49,'standardized values with PR'!$Y$10,'standardized values with PR'!$AA$10)</f>
        <v>-0.24347112326235587</v>
      </c>
      <c r="T49">
        <f>STANDARDIZE(Dataset!AF49,'standardized values with PR'!$Y$11,'standardized values with PR'!$AA$11)</f>
        <v>0.55117742257471025</v>
      </c>
      <c r="U49">
        <f>STANDARDIZE(Dataset!AG49,'standardized values with PR'!$Y$12,'standardized values with PR'!$AA$12)</f>
        <v>0.63618089376260767</v>
      </c>
      <c r="V49">
        <f>STANDARDIZE(Dataset!AH49,'standardized values with PR'!$Y$13,'standardized values with PR'!$AA$13)</f>
        <v>0.90945070428207953</v>
      </c>
      <c r="AE49" s="8" t="s">
        <v>139</v>
      </c>
      <c r="AF49" s="31">
        <f t="shared" si="0"/>
        <v>-1.1614487329539087</v>
      </c>
      <c r="AG49" s="31">
        <f t="shared" si="1"/>
        <v>-0.25842244523327962</v>
      </c>
      <c r="AH49" s="31">
        <f t="shared" si="2"/>
        <v>-0.54047475786415733</v>
      </c>
      <c r="AI49" s="31">
        <f t="shared" si="3"/>
        <v>-3.0646071673952635</v>
      </c>
      <c r="AJ49" s="31">
        <f t="shared" si="4"/>
        <v>-0.63281569006879279</v>
      </c>
      <c r="AK49" s="31">
        <f t="shared" si="5"/>
        <v>-0.99125775205605671</v>
      </c>
    </row>
    <row r="50" spans="1:37" s="8" customFormat="1" ht="15.75" customHeight="1" x14ac:dyDescent="0.25">
      <c r="A50" s="8" t="s">
        <v>140</v>
      </c>
      <c r="B50" s="8" t="s">
        <v>141</v>
      </c>
      <c r="C50" s="8">
        <v>2014</v>
      </c>
      <c r="D50">
        <f>STANDARDIZE(Dataset!X50,'standardized values with PR'!$Y$3,'standardized values with PR'!$AA$3)</f>
        <v>-0.45226274266680716</v>
      </c>
      <c r="E50">
        <f>STANDARDIZE(Dataset!Y50,'standardized values with PR'!$Y$4,'standardized values with PR'!$AA$4)</f>
        <v>-0.39424464484814997</v>
      </c>
      <c r="F50">
        <f>STANDARDIZE(Dataset!Z50,'standardized values with PR'!$Y$5,'standardized values with PR'!$AA$5)</f>
        <v>-0.47651984313173529</v>
      </c>
      <c r="G50">
        <f>STANDARDIZE(Dataset!AA50,'standardized values with PR'!$Y$6,'standardized values with PR'!$AA$6)</f>
        <v>5.3789619988005029E-2</v>
      </c>
      <c r="H50">
        <f>STANDARDIZE(Dataset!AB50,'standardized values with PR'!$Y$7,'standardized values with PR'!$AA$7)</f>
        <v>-5.3801633407206277E-2</v>
      </c>
      <c r="I50">
        <f>STANDARDIZE(Dataset!AC50,'standardized values with PR'!$Y$8,'standardized values with PR'!$AA$8)</f>
        <v>-3.8603880358179805E-2</v>
      </c>
      <c r="J50">
        <f>STANDARDIZE(Dataset!AL50,'standardized values with PR'!$Y$14,'standardized values with PR'!$AA$14)</f>
        <v>-0.41259673133564845</v>
      </c>
      <c r="K50">
        <f>STANDARDIZE(Dataset!AM50,'standardized values with PR'!$Y$15,'standardized values with PR'!$AA$15)</f>
        <v>-0.4100248662226495</v>
      </c>
      <c r="L50">
        <f>STANDARDIZE(Dataset!AN50,'standardized values with PR'!$Y$16,'standardized values with PR'!$AA$16)</f>
        <v>-1.2398318720030019</v>
      </c>
      <c r="M50">
        <f>STANDARDIZE(Dataset!AO50,'standardized values with PR'!$Y$17,'standardized values with PR'!$AA$17)</f>
        <v>-0.26596016174211418</v>
      </c>
      <c r="N50">
        <f>STANDARDIZE(Dataset!AP50,'standardized values with PR'!$Y$18,'standardized values with PR'!$AA$18)</f>
        <v>-0.21385497243757073</v>
      </c>
      <c r="O50">
        <f>STANDARDIZE(Dataset!AQ50,'standardized values with PR'!$Y$22,'standardized values with PR'!$AA$22)</f>
        <v>-0.21088226220883527</v>
      </c>
      <c r="P50">
        <f>STANDARDIZE(Dataset!AR50,'standardized values with PR'!$Y$23,'standardized values with PR'!$AA$23)</f>
        <v>2.4856790232094772</v>
      </c>
      <c r="Q50">
        <f>STANDARDIZE(Dataset!AS50,'standardized values with PR'!$Y$24,'standardized values with PR'!$AA$24)</f>
        <v>-0.13080916677344567</v>
      </c>
      <c r="R50">
        <f>STANDARDIZE(Dataset!AD50,'standardized values with PR'!$Y$9,'standardized values with PR'!$AA$9)</f>
        <v>-0.15501702527261452</v>
      </c>
      <c r="S50">
        <f>STANDARDIZE(Dataset!AE50,'standardized values with PR'!$Y$10,'standardized values with PR'!$AA$10)</f>
        <v>-0.12433278221523685</v>
      </c>
      <c r="T50">
        <f>STANDARDIZE(Dataset!AF50,'standardized values with PR'!$Y$11,'standardized values with PR'!$AA$11)</f>
        <v>1.167710073697495</v>
      </c>
      <c r="U50">
        <f>STANDARDIZE(Dataset!AG50,'standardized values with PR'!$Y$12,'standardized values with PR'!$AA$12)</f>
        <v>-5.9391046986721305E-2</v>
      </c>
      <c r="V50">
        <f>STANDARDIZE(Dataset!AH50,'standardized values with PR'!$Y$13,'standardized values with PR'!$AA$13)</f>
        <v>-6.9882691570829839E-2</v>
      </c>
      <c r="AE50" s="8" t="s">
        <v>141</v>
      </c>
      <c r="AF50" s="31">
        <f t="shared" si="0"/>
        <v>-1.3230272306466924</v>
      </c>
      <c r="AG50" s="31">
        <f t="shared" si="1"/>
        <v>-0.86122547791647774</v>
      </c>
      <c r="AH50" s="31">
        <f t="shared" si="2"/>
        <v>-1.2013419201248321E-5</v>
      </c>
      <c r="AI50" s="31">
        <f t="shared" si="3"/>
        <v>-1.7196470061826867</v>
      </c>
      <c r="AJ50" s="31">
        <f t="shared" si="4"/>
        <v>2.1439875942271964</v>
      </c>
      <c r="AK50" s="31">
        <f t="shared" si="5"/>
        <v>-0.50675222441025958</v>
      </c>
    </row>
    <row r="51" spans="1:37" s="8" customFormat="1" x14ac:dyDescent="0.25">
      <c r="A51" s="8" t="s">
        <v>142</v>
      </c>
      <c r="B51" s="23" t="s">
        <v>143</v>
      </c>
      <c r="C51" s="54">
        <v>2014</v>
      </c>
      <c r="D51" s="54">
        <f>STANDARDIZE(Dataset!X51,'standardized values with PR'!$Y$3,'standardized values with PR'!$AA$3)</f>
        <v>0.54765438181112236</v>
      </c>
      <c r="E51" s="54">
        <f>STANDARDIZE(Dataset!Y51,'standardized values with PR'!$Y$4,'standardized values with PR'!$AA$4)</f>
        <v>0.38705530114731851</v>
      </c>
      <c r="F51" s="54">
        <f>STANDARDIZE(Dataset!Z51,'standardized values with PR'!$Y$5,'standardized values with PR'!$AA$5)</f>
        <v>0.53464480688969318</v>
      </c>
      <c r="G51" s="54">
        <f>STANDARDIZE(Dataset!AA51,'standardized values with PR'!$Y$6,'standardized values with PR'!$AA$6)</f>
        <v>3.568944305123253</v>
      </c>
      <c r="H51" s="54">
        <f>STANDARDIZE(Dataset!AB51,'standardized values with PR'!$Y$7,'standardized values with PR'!$AA$7)</f>
        <v>2.3089492992832881</v>
      </c>
      <c r="I51" s="54">
        <f>STANDARDIZE(Dataset!AC51,'standardized values with PR'!$Y$8,'standardized values with PR'!$AA$8)</f>
        <v>1.1817693739490385</v>
      </c>
      <c r="J51" s="54">
        <f>STANDARDIZE(Dataset!AL51,'standardized values with PR'!$Y$14,'standardized values with PR'!$AA$14)</f>
        <v>1.4816616047276818</v>
      </c>
      <c r="K51" s="54">
        <f>STANDARDIZE(Dataset!AM51,'standardized values with PR'!$Y$15,'standardized values with PR'!$AA$15)</f>
        <v>-0.44023503819851889</v>
      </c>
      <c r="L51" s="54">
        <f>STANDARDIZE(Dataset!AN51,'standardized values with PR'!$Y$16,'standardized values with PR'!$AA$16)</f>
        <v>-1.2672017580811343</v>
      </c>
      <c r="M51" s="54">
        <f>STANDARDIZE(Dataset!AO51,'standardized values with PR'!$Y$17,'standardized values with PR'!$AA$17)</f>
        <v>-1.3658310848634607</v>
      </c>
      <c r="N51" s="54">
        <f>STANDARDIZE(Dataset!AP51,'standardized values with PR'!$Y$18,'standardized values with PR'!$AA$18)</f>
        <v>-0.3743192436423719</v>
      </c>
      <c r="O51" s="54">
        <f>STANDARDIZE(Dataset!AQ51,'standardized values with PR'!$Y$22,'standardized values with PR'!$AA$22)</f>
        <v>1.7837242754268174</v>
      </c>
      <c r="P51" s="54">
        <f>STANDARDIZE(Dataset!AR51,'standardized values with PR'!$Y$23,'standardized values with PR'!$AA$23)</f>
        <v>-0.50654408675487139</v>
      </c>
      <c r="Q51" s="54">
        <f>STANDARDIZE(Dataset!AS51,'standardized values with PR'!$Y$24,'standardized values with PR'!$AA$24)</f>
        <v>-0.16120213117427612</v>
      </c>
      <c r="R51" s="54">
        <f>STANDARDIZE(Dataset!AD51,'standardized values with PR'!$Y$9,'standardized values with PR'!$AA$9)</f>
        <v>-0.65758754761985849</v>
      </c>
      <c r="S51" s="54">
        <f>STANDARDIZE(Dataset!AE51,'standardized values with PR'!$Y$10,'standardized values with PR'!$AA$10)</f>
        <v>-6.8842212194425698E-2</v>
      </c>
      <c r="T51" s="54">
        <f>STANDARDIZE(Dataset!AF51,'standardized values with PR'!$Y$11,'standardized values with PR'!$AA$11)</f>
        <v>1.2190004949218198</v>
      </c>
      <c r="U51" s="54">
        <f>STANDARDIZE(Dataset!AG51,'standardized values with PR'!$Y$12,'standardized values with PR'!$AA$12)</f>
        <v>1.0292464979327105</v>
      </c>
      <c r="V51" s="54">
        <f>STANDARDIZE(Dataset!AH51,'standardized values with PR'!$Y$13,'standardized values with PR'!$AA$13)</f>
        <v>5.8302798691535873E-2</v>
      </c>
      <c r="AE51" s="8" t="s">
        <v>143</v>
      </c>
      <c r="AF51" s="31">
        <f>SUM(D51:F51)</f>
        <v>1.4693544898481341</v>
      </c>
      <c r="AG51" s="31">
        <f>SUM(I51:K51)</f>
        <v>2.2231959404782011</v>
      </c>
      <c r="AH51" s="31">
        <f t="shared" si="2"/>
        <v>5.8778936044065411</v>
      </c>
      <c r="AI51" s="31">
        <f t="shared" si="3"/>
        <v>-3.007352086586967</v>
      </c>
      <c r="AJ51" s="31">
        <f t="shared" si="4"/>
        <v>1.1159780574976699</v>
      </c>
      <c r="AK51" s="31">
        <f t="shared" si="5"/>
        <v>2.6047190241280269</v>
      </c>
    </row>
    <row r="52" spans="1:37" ht="15.75" customHeight="1" x14ac:dyDescent="0.25">
      <c r="B52" t="s">
        <v>205</v>
      </c>
      <c r="C52">
        <v>2014</v>
      </c>
      <c r="D52">
        <f>STANDARDIZE(Dataset!X52,'standardized values with PR'!$Y$3,'standardized values with PR'!$AA$3)</f>
        <v>-0.6473764456553478</v>
      </c>
      <c r="E52">
        <f>STANDARDIZE(Dataset!Y52,'standardized values with PR'!$Y$4,'standardized values with PR'!$AA$4)</f>
        <v>-0.74816193182342283</v>
      </c>
      <c r="F52">
        <f>STANDARDIZE(Dataset!Z52,'standardized values with PR'!$Y$5,'standardized values with PR'!$AA$5)</f>
        <v>-0.83090187275401561</v>
      </c>
      <c r="G52">
        <f>STANDARDIZE(Dataset!AA52,'standardized values with PR'!$Y$6,'standardized values with PR'!$AA$6)</f>
        <v>-1.4505597892954054</v>
      </c>
      <c r="H52">
        <f>STANDARDIZE(Dataset!AB52,'standardized values with PR'!$Y$7,'standardized values with PR'!$AA$7)</f>
        <v>-0.84551431035924751</v>
      </c>
      <c r="I52">
        <f>STANDARDIZE(Dataset!AC52,'standardized values with PR'!$Y$8,'standardized values with PR'!$AA$8)</f>
        <v>-5.2570652801458122</v>
      </c>
      <c r="J52">
        <f>STANDARDIZE(Dataset!AL52,'standardized values with PR'!$Y$14,'standardized values with PR'!$AA$14)</f>
        <v>-0.77746669372293453</v>
      </c>
      <c r="K52">
        <f>STANDARDIZE(Dataset!AM52,'standardized values with PR'!$Y$15,'standardized values with PR'!$AA$15)</f>
        <v>-0.85144179784998841</v>
      </c>
      <c r="L52">
        <f>STANDARDIZE(Dataset!AN52,'standardized values with PR'!$Y$16,'standardized values with PR'!$AA$16)</f>
        <v>-2.1477355649433183</v>
      </c>
      <c r="M52">
        <f>STANDARDIZE(Dataset!AO52,'standardized values with PR'!$Y$17,'standardized values with PR'!$AA$17)</f>
        <v>-2.1578187563157636</v>
      </c>
      <c r="N52">
        <f>STANDARDIZE(Dataset!AP52,'standardized values with PR'!$Y$18,'standardized values with PR'!$AA$18)</f>
        <v>-2.4925934827587253</v>
      </c>
      <c r="O52">
        <f>STANDARDIZE(Dataset!AQ52,'standardized values with PR'!$Y$22,'standardized values with PR'!$AA$22)</f>
        <v>-0.24367138180583378</v>
      </c>
      <c r="P52">
        <f>STANDARDIZE(Dataset!AR52,'standardized values with PR'!$Y$23,'standardized values with PR'!$AA$23)</f>
        <v>-1.6054685365890742</v>
      </c>
      <c r="Q52">
        <f>STANDARDIZE(Dataset!AS52,'standardized values with PR'!$Y$24,'standardized values with PR'!$AA$24)</f>
        <v>-0.1806756341777962</v>
      </c>
      <c r="R52">
        <f>STANDARDIZE(Dataset!AD52,'standardized values with PR'!$Y$9,'standardized values with PR'!$AA$9)</f>
        <v>5.2710940401109534</v>
      </c>
      <c r="S52">
        <f>STANDARDIZE(Dataset!AE52,'standardized values with PR'!$Y$10,'standardized values with PR'!$AA$10)</f>
        <v>4.5866523902945646</v>
      </c>
      <c r="T52">
        <f>STANDARDIZE(Dataset!AF52,'standardized values with PR'!$Y$11,'standardized values with PR'!$AA$11)</f>
        <v>4.198397300088236</v>
      </c>
      <c r="U52">
        <f>STANDARDIZE(Dataset!AG52,'standardized values with PR'!$Y$12,'standardized values with PR'!$AA$12)</f>
        <v>2.7340246641748767</v>
      </c>
      <c r="V52">
        <f>STANDARDIZE(Dataset!AH52,'standardized values with PR'!$Y$13,'standardized values with PR'!$AA$13)</f>
        <v>4.4855900626040448</v>
      </c>
      <c r="AE52" t="s">
        <v>205</v>
      </c>
      <c r="AF52" s="31">
        <f t="shared" si="0"/>
        <v>-2.2264402502327862</v>
      </c>
      <c r="AG52" s="31">
        <f t="shared" ref="AG52" si="6">SUM(I52:K52)</f>
        <v>-6.885973771718735</v>
      </c>
      <c r="AH52" s="31">
        <f t="shared" si="2"/>
        <v>-2.2960740996546529</v>
      </c>
      <c r="AI52" s="31">
        <f t="shared" si="3"/>
        <v>-6.7981478040178072</v>
      </c>
      <c r="AJ52" s="31">
        <f t="shared" si="4"/>
        <v>-2.0298155525727042</v>
      </c>
      <c r="AK52" s="31">
        <f t="shared" si="5"/>
        <v>-3.1542737352915284</v>
      </c>
    </row>
    <row r="55" spans="1:37" x14ac:dyDescent="0.25">
      <c r="AF55" s="8"/>
    </row>
    <row r="56" spans="1:37" x14ac:dyDescent="0.25">
      <c r="AF56" s="8"/>
      <c r="AH56" s="8"/>
      <c r="AI56" s="8"/>
      <c r="AJ56" s="8"/>
      <c r="AK56" s="8"/>
    </row>
    <row r="57" spans="1:37" x14ac:dyDescent="0.25">
      <c r="AF57" s="8"/>
      <c r="AK57"/>
    </row>
    <row r="58" spans="1:37" x14ac:dyDescent="0.25">
      <c r="AF58" s="8"/>
    </row>
    <row r="59" spans="1:37" x14ac:dyDescent="0.25">
      <c r="AF59" s="8"/>
    </row>
  </sheetData>
  <autoFilter ref="B1:B52"/>
  <hyperlinks>
    <hyperlink ref="A12" r:id="rId1"/>
  </hyperlinks>
  <pageMargins left="0.75" right="0.75" top="1" bottom="1" header="0.5" footer="0.5"/>
  <pageSetup orientation="portrait" horizontalDpi="4294967292" verticalDpi="4294967292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zoomScale="85" zoomScaleNormal="85" workbookViewId="0">
      <pane ySplit="2" topLeftCell="A3" activePane="bottomLeft" state="frozen"/>
      <selection pane="bottomLeft" activeCell="C13" sqref="C13"/>
    </sheetView>
  </sheetViews>
  <sheetFormatPr defaultColWidth="11" defaultRowHeight="15.75" outlineLevelCol="1" x14ac:dyDescent="0.25"/>
  <cols>
    <col min="1" max="1" width="14.125" customWidth="1"/>
    <col min="2" max="2" width="13.875" bestFit="1" customWidth="1"/>
    <col min="3" max="4" width="12.625" bestFit="1" customWidth="1"/>
    <col min="5" max="5" width="12.875" customWidth="1"/>
    <col min="6" max="6" width="11.125" customWidth="1"/>
    <col min="7" max="7" width="11" style="17"/>
    <col min="9" max="9" width="12" customWidth="1"/>
    <col min="10" max="10" width="9.875" customWidth="1"/>
    <col min="11" max="11" width="11" style="17"/>
    <col min="14" max="14" width="14.125" bestFit="1" customWidth="1"/>
    <col min="15" max="15" width="11" style="17"/>
    <col min="18" max="18" width="14.125" bestFit="1" customWidth="1"/>
    <col min="19" max="19" width="11" style="17"/>
    <col min="20" max="21" width="11" hidden="1" customWidth="1" outlineLevel="1"/>
    <col min="22" max="22" width="14.125" hidden="1" customWidth="1" outlineLevel="1"/>
    <col min="23" max="23" width="12.875" hidden="1" customWidth="1" outlineLevel="1"/>
    <col min="24" max="24" width="11" collapsed="1"/>
    <col min="25" max="25" width="11.125" customWidth="1"/>
    <col min="26" max="26" width="14.125" bestFit="1" customWidth="1"/>
    <col min="27" max="27" width="12.5" bestFit="1" customWidth="1"/>
  </cols>
  <sheetData>
    <row r="1" spans="1:27" x14ac:dyDescent="0.25">
      <c r="Y1" s="10"/>
      <c r="Z1" s="10"/>
      <c r="AA1" s="10"/>
    </row>
    <row r="2" spans="1:27" s="45" customFormat="1" ht="63" x14ac:dyDescent="0.25">
      <c r="A2" s="44" t="s">
        <v>161</v>
      </c>
      <c r="B2" s="44" t="s">
        <v>145</v>
      </c>
      <c r="C2" s="44" t="s">
        <v>162</v>
      </c>
      <c r="E2" s="44" t="s">
        <v>161</v>
      </c>
      <c r="F2" s="44" t="s">
        <v>145</v>
      </c>
      <c r="G2" s="47" t="s">
        <v>171</v>
      </c>
      <c r="I2" s="46" t="s">
        <v>172</v>
      </c>
      <c r="J2" s="46" t="s">
        <v>145</v>
      </c>
      <c r="K2" s="47" t="s">
        <v>173</v>
      </c>
      <c r="M2" s="44" t="s">
        <v>161</v>
      </c>
      <c r="N2" s="44" t="s">
        <v>145</v>
      </c>
      <c r="O2" s="47" t="s">
        <v>174</v>
      </c>
      <c r="Q2" s="44" t="s">
        <v>161</v>
      </c>
      <c r="R2" s="44" t="s">
        <v>145</v>
      </c>
      <c r="S2" s="47" t="s">
        <v>165</v>
      </c>
      <c r="U2" s="48" t="s">
        <v>161</v>
      </c>
      <c r="V2" s="48" t="s">
        <v>145</v>
      </c>
      <c r="W2" s="50" t="s">
        <v>175</v>
      </c>
      <c r="Y2" s="48" t="s">
        <v>161</v>
      </c>
      <c r="Z2" s="48" t="s">
        <v>145</v>
      </c>
      <c r="AA2" s="49" t="s">
        <v>176</v>
      </c>
    </row>
    <row r="3" spans="1:27" x14ac:dyDescent="0.25">
      <c r="A3">
        <v>1</v>
      </c>
      <c r="B3" s="8" t="s">
        <v>151</v>
      </c>
      <c r="C3" s="17">
        <v>18.195438932034172</v>
      </c>
      <c r="D3" s="57"/>
      <c r="E3">
        <v>1</v>
      </c>
      <c r="F3" s="8" t="s">
        <v>151</v>
      </c>
      <c r="G3" s="17">
        <v>9.8493361149579783</v>
      </c>
      <c r="H3" s="57"/>
      <c r="I3">
        <v>1</v>
      </c>
      <c r="J3" s="8" t="s">
        <v>97</v>
      </c>
      <c r="K3" s="33">
        <v>10.154906885592524</v>
      </c>
      <c r="L3" s="58"/>
      <c r="M3">
        <v>1</v>
      </c>
      <c r="N3" t="s">
        <v>101</v>
      </c>
      <c r="O3" s="33">
        <v>7.2437218572316127</v>
      </c>
      <c r="Q3">
        <v>1</v>
      </c>
      <c r="R3" t="s">
        <v>97</v>
      </c>
      <c r="S3" s="17">
        <v>8.5878581983931355</v>
      </c>
      <c r="U3">
        <v>1</v>
      </c>
      <c r="V3" t="s">
        <v>151</v>
      </c>
      <c r="W3">
        <v>10.268552316025723</v>
      </c>
      <c r="X3" s="57"/>
      <c r="Y3">
        <v>1</v>
      </c>
      <c r="Z3" s="8" t="s">
        <v>151</v>
      </c>
      <c r="AA3" s="17">
        <v>9.558867007021993</v>
      </c>
    </row>
    <row r="4" spans="1:27" x14ac:dyDescent="0.25">
      <c r="A4">
        <f>A3+1</f>
        <v>2</v>
      </c>
      <c r="B4" s="8" t="s">
        <v>125</v>
      </c>
      <c r="C4" s="17">
        <v>3.946416284412825</v>
      </c>
      <c r="D4" s="57"/>
      <c r="E4">
        <v>2</v>
      </c>
      <c r="F4" s="8" t="s">
        <v>143</v>
      </c>
      <c r="G4" s="17">
        <v>5.8778936044065411</v>
      </c>
      <c r="H4" s="57"/>
      <c r="I4">
        <f>I3+1</f>
        <v>2</v>
      </c>
      <c r="J4" s="8" t="s">
        <v>151</v>
      </c>
      <c r="K4" s="33">
        <v>5.069606027953939</v>
      </c>
      <c r="L4" s="58"/>
      <c r="M4">
        <f>M3+1</f>
        <v>2</v>
      </c>
      <c r="N4" t="s">
        <v>99</v>
      </c>
      <c r="O4" s="33">
        <v>6.771521712434927</v>
      </c>
      <c r="Q4">
        <f>Q3+1</f>
        <v>2</v>
      </c>
      <c r="R4" t="s">
        <v>115</v>
      </c>
      <c r="S4" s="17">
        <v>6.9302215333810162</v>
      </c>
      <c r="U4">
        <v>2</v>
      </c>
      <c r="V4" t="s">
        <v>97</v>
      </c>
      <c r="W4">
        <v>2.8081265180181774</v>
      </c>
      <c r="X4" s="57"/>
      <c r="Y4">
        <v>2</v>
      </c>
      <c r="Z4" s="8" t="s">
        <v>97</v>
      </c>
      <c r="AA4" s="17">
        <v>2.6514216492982383</v>
      </c>
    </row>
    <row r="5" spans="1:27" x14ac:dyDescent="0.25">
      <c r="A5">
        <f t="shared" ref="A5:A53" si="0">A4+1</f>
        <v>3</v>
      </c>
      <c r="B5" s="8" t="s">
        <v>158</v>
      </c>
      <c r="C5" s="17">
        <v>3.7956751483598725</v>
      </c>
      <c r="D5" s="57"/>
      <c r="E5">
        <v>3</v>
      </c>
      <c r="F5" s="8" t="s">
        <v>111</v>
      </c>
      <c r="G5" s="17">
        <v>5.8297833011404929</v>
      </c>
      <c r="H5" s="57"/>
      <c r="I5">
        <f t="shared" ref="I5:I53" si="1">I4+1</f>
        <v>3</v>
      </c>
      <c r="J5" s="8" t="s">
        <v>70</v>
      </c>
      <c r="K5" s="33">
        <v>3.6850894659861471</v>
      </c>
      <c r="L5" s="58"/>
      <c r="M5">
        <f t="shared" ref="M5:M51" si="2">M4+1</f>
        <v>3</v>
      </c>
      <c r="N5" t="s">
        <v>158</v>
      </c>
      <c r="O5" s="33">
        <v>4.1560247135871364</v>
      </c>
      <c r="Q5">
        <f t="shared" ref="Q5:Q53" si="3">Q4+1</f>
        <v>3</v>
      </c>
      <c r="R5" t="s">
        <v>141</v>
      </c>
      <c r="S5" s="17">
        <v>2.1439875942271964</v>
      </c>
      <c r="U5">
        <v>3</v>
      </c>
      <c r="V5" t="s">
        <v>143</v>
      </c>
      <c r="W5">
        <v>2.7154408124260803</v>
      </c>
      <c r="X5" s="57"/>
      <c r="Y5">
        <v>3</v>
      </c>
      <c r="Z5" s="8" t="s">
        <v>143</v>
      </c>
      <c r="AA5" s="17">
        <v>2.6047190241280269</v>
      </c>
    </row>
    <row r="6" spans="1:27" x14ac:dyDescent="0.25">
      <c r="A6">
        <f t="shared" si="0"/>
        <v>4</v>
      </c>
      <c r="B6" s="8" t="s">
        <v>111</v>
      </c>
      <c r="C6" s="17">
        <v>2.6388695156799185</v>
      </c>
      <c r="D6" s="57"/>
      <c r="E6">
        <v>4</v>
      </c>
      <c r="F6" s="8" t="s">
        <v>129</v>
      </c>
      <c r="G6" s="17">
        <v>0.77816865302232285</v>
      </c>
      <c r="H6" s="57"/>
      <c r="I6">
        <f t="shared" si="1"/>
        <v>4</v>
      </c>
      <c r="J6" s="8" t="s">
        <v>127</v>
      </c>
      <c r="K6" s="33">
        <v>2.7218843143986291</v>
      </c>
      <c r="L6" s="58"/>
      <c r="M6">
        <f t="shared" si="2"/>
        <v>4</v>
      </c>
      <c r="N6" t="s">
        <v>125</v>
      </c>
      <c r="O6" s="33">
        <v>3.8786708078089047</v>
      </c>
      <c r="Q6">
        <f t="shared" si="3"/>
        <v>4</v>
      </c>
      <c r="R6" t="s">
        <v>127</v>
      </c>
      <c r="S6" s="17">
        <v>2.0851571117436327</v>
      </c>
      <c r="U6">
        <v>4</v>
      </c>
      <c r="V6" t="s">
        <v>111</v>
      </c>
      <c r="W6">
        <v>2.6319075017624689</v>
      </c>
      <c r="X6" s="57"/>
      <c r="Y6">
        <v>4</v>
      </c>
      <c r="Z6" s="8" t="s">
        <v>111</v>
      </c>
      <c r="AA6" s="17">
        <v>2.6042911628479959</v>
      </c>
    </row>
    <row r="7" spans="1:27" x14ac:dyDescent="0.25">
      <c r="A7">
        <f t="shared" si="0"/>
        <v>5</v>
      </c>
      <c r="B7" s="8" t="s">
        <v>113</v>
      </c>
      <c r="C7" s="17">
        <v>2.3005081656365762</v>
      </c>
      <c r="D7" s="57"/>
      <c r="E7">
        <v>5</v>
      </c>
      <c r="F7" s="8" t="s">
        <v>131</v>
      </c>
      <c r="G7" s="17">
        <v>0.69073488006430084</v>
      </c>
      <c r="H7" s="57"/>
      <c r="I7">
        <f t="shared" si="1"/>
        <v>5</v>
      </c>
      <c r="J7" s="8" t="s">
        <v>115</v>
      </c>
      <c r="K7" s="33">
        <v>2.5227927554928931</v>
      </c>
      <c r="L7" s="58"/>
      <c r="M7">
        <f t="shared" si="2"/>
        <v>5</v>
      </c>
      <c r="N7" t="s">
        <v>135</v>
      </c>
      <c r="O7" s="33">
        <v>3.7783859909838853</v>
      </c>
      <c r="Q7">
        <f t="shared" si="3"/>
        <v>5</v>
      </c>
      <c r="R7" t="s">
        <v>70</v>
      </c>
      <c r="S7" s="17">
        <v>1.801099961201603</v>
      </c>
      <c r="U7">
        <v>5</v>
      </c>
      <c r="V7" t="s">
        <v>125</v>
      </c>
      <c r="W7">
        <v>2.3541235725016394</v>
      </c>
      <c r="X7" s="57"/>
      <c r="Y7">
        <v>5</v>
      </c>
      <c r="Z7" s="8" t="s">
        <v>125</v>
      </c>
      <c r="AA7" s="17">
        <v>2.1832706279156522</v>
      </c>
    </row>
    <row r="8" spans="1:27" x14ac:dyDescent="0.25">
      <c r="A8">
        <f t="shared" si="0"/>
        <v>6</v>
      </c>
      <c r="B8" s="8" t="s">
        <v>131</v>
      </c>
      <c r="C8" s="17">
        <v>2.2183852757829516</v>
      </c>
      <c r="D8" s="57"/>
      <c r="E8">
        <v>6</v>
      </c>
      <c r="F8" s="8" t="s">
        <v>65</v>
      </c>
      <c r="G8" s="17">
        <v>0.68132288185012624</v>
      </c>
      <c r="H8" s="57"/>
      <c r="I8">
        <f t="shared" si="1"/>
        <v>6</v>
      </c>
      <c r="J8" s="8" t="s">
        <v>125</v>
      </c>
      <c r="K8" s="33">
        <v>2.498323559955737</v>
      </c>
      <c r="L8" s="58"/>
      <c r="M8">
        <f t="shared" si="2"/>
        <v>6</v>
      </c>
      <c r="N8" t="s">
        <v>93</v>
      </c>
      <c r="O8" s="33">
        <v>3.3499671286415209</v>
      </c>
      <c r="Q8">
        <f t="shared" si="3"/>
        <v>6</v>
      </c>
      <c r="R8" t="s">
        <v>133</v>
      </c>
      <c r="S8" s="17">
        <v>1.5839946690423867</v>
      </c>
      <c r="U8">
        <v>6</v>
      </c>
      <c r="V8" t="s">
        <v>158</v>
      </c>
      <c r="W8">
        <v>1.8216663797928954</v>
      </c>
      <c r="X8" s="57"/>
      <c r="Y8">
        <v>6</v>
      </c>
      <c r="Z8" s="8" t="s">
        <v>158</v>
      </c>
      <c r="AA8" s="17">
        <v>1.9370943749584548</v>
      </c>
    </row>
    <row r="9" spans="1:27" x14ac:dyDescent="0.25">
      <c r="A9">
        <f t="shared" si="0"/>
        <v>7</v>
      </c>
      <c r="B9" s="8" t="s">
        <v>95</v>
      </c>
      <c r="C9" s="17">
        <v>1.7135673948982306</v>
      </c>
      <c r="D9" s="57"/>
      <c r="E9">
        <v>7</v>
      </c>
      <c r="F9" s="8" t="s">
        <v>158</v>
      </c>
      <c r="G9" s="17">
        <v>0.49566769883957601</v>
      </c>
      <c r="H9" s="57"/>
      <c r="I9">
        <f t="shared" si="1"/>
        <v>7</v>
      </c>
      <c r="J9" s="8" t="s">
        <v>143</v>
      </c>
      <c r="K9" s="33">
        <v>2.2231959404782011</v>
      </c>
      <c r="L9" s="58"/>
      <c r="M9">
        <f t="shared" si="2"/>
        <v>7</v>
      </c>
      <c r="N9" t="s">
        <v>97</v>
      </c>
      <c r="O9" s="33">
        <v>3.0570178587170087</v>
      </c>
      <c r="Q9">
        <f t="shared" si="3"/>
        <v>7</v>
      </c>
      <c r="R9" t="s">
        <v>143</v>
      </c>
      <c r="S9" s="17">
        <v>1.1159780574976699</v>
      </c>
      <c r="U9">
        <v>7</v>
      </c>
      <c r="V9" t="s">
        <v>131</v>
      </c>
      <c r="W9">
        <v>1.2673453595150914</v>
      </c>
      <c r="X9" s="57"/>
      <c r="Y9">
        <v>7</v>
      </c>
      <c r="Z9" s="8" t="s">
        <v>131</v>
      </c>
      <c r="AA9" s="17">
        <v>1.1944270491545432</v>
      </c>
    </row>
    <row r="10" spans="1:27" x14ac:dyDescent="0.25">
      <c r="A10">
        <f t="shared" si="0"/>
        <v>8</v>
      </c>
      <c r="B10" s="8" t="s">
        <v>143</v>
      </c>
      <c r="C10" s="17">
        <v>1.4693544898481341</v>
      </c>
      <c r="D10" s="57"/>
      <c r="E10">
        <v>8</v>
      </c>
      <c r="F10" s="8" t="s">
        <v>109</v>
      </c>
      <c r="G10" s="17">
        <v>0.28454496278800617</v>
      </c>
      <c r="H10" s="57"/>
      <c r="I10">
        <f t="shared" si="1"/>
        <v>8</v>
      </c>
      <c r="J10" s="8" t="s">
        <v>95</v>
      </c>
      <c r="K10" s="33">
        <v>2.1552210783091237</v>
      </c>
      <c r="L10" s="58"/>
      <c r="M10">
        <f t="shared" si="2"/>
        <v>8</v>
      </c>
      <c r="N10" t="s">
        <v>155</v>
      </c>
      <c r="O10" s="33">
        <v>2.8959008111022833</v>
      </c>
      <c r="Q10">
        <f t="shared" si="3"/>
        <v>8</v>
      </c>
      <c r="R10" t="s">
        <v>109</v>
      </c>
      <c r="S10" s="17">
        <v>0.79264653677018748</v>
      </c>
      <c r="U10">
        <v>8</v>
      </c>
      <c r="V10" t="s">
        <v>95</v>
      </c>
      <c r="W10">
        <v>1.0014141264753378</v>
      </c>
      <c r="X10" s="57"/>
      <c r="Y10">
        <v>8</v>
      </c>
      <c r="Z10" s="8" t="s">
        <v>115</v>
      </c>
      <c r="AA10" s="17">
        <v>1.1898530932188938</v>
      </c>
    </row>
    <row r="11" spans="1:27" x14ac:dyDescent="0.25">
      <c r="A11">
        <f t="shared" si="0"/>
        <v>9</v>
      </c>
      <c r="B11" s="8" t="s">
        <v>97</v>
      </c>
      <c r="C11" s="17">
        <v>1.3831629937765597</v>
      </c>
      <c r="D11" s="57"/>
      <c r="E11">
        <v>9</v>
      </c>
      <c r="F11" s="8" t="s">
        <v>125</v>
      </c>
      <c r="G11" s="17">
        <v>0.24384594338603699</v>
      </c>
      <c r="H11" s="57"/>
      <c r="I11">
        <f t="shared" si="1"/>
        <v>9</v>
      </c>
      <c r="J11" s="8" t="s">
        <v>65</v>
      </c>
      <c r="K11" s="33">
        <v>1.7547243162098303</v>
      </c>
      <c r="L11" s="58"/>
      <c r="M11">
        <f t="shared" si="2"/>
        <v>9</v>
      </c>
      <c r="N11" t="s">
        <v>129</v>
      </c>
      <c r="O11" s="33">
        <v>2.3745728914040285</v>
      </c>
      <c r="Q11">
        <f t="shared" si="3"/>
        <v>9</v>
      </c>
      <c r="R11" t="s">
        <v>125</v>
      </c>
      <c r="S11" s="17">
        <v>0.78979411409586309</v>
      </c>
      <c r="U11">
        <v>9</v>
      </c>
      <c r="V11" t="s">
        <v>127</v>
      </c>
      <c r="W11">
        <v>0.94651026262548132</v>
      </c>
      <c r="X11" s="57"/>
      <c r="Y11">
        <v>9</v>
      </c>
      <c r="Z11" s="8" t="s">
        <v>127</v>
      </c>
      <c r="AA11" s="17">
        <v>0.88283754235998169</v>
      </c>
    </row>
    <row r="12" spans="1:27" x14ac:dyDescent="0.25">
      <c r="A12">
        <f t="shared" si="0"/>
        <v>10</v>
      </c>
      <c r="B12" s="8" t="s">
        <v>127</v>
      </c>
      <c r="C12" s="17">
        <v>1.1367640592111536</v>
      </c>
      <c r="D12" s="57"/>
      <c r="E12">
        <v>10</v>
      </c>
      <c r="F12" s="8" t="s">
        <v>95</v>
      </c>
      <c r="G12" s="17">
        <v>0.13175360171575226</v>
      </c>
      <c r="H12" s="57"/>
      <c r="I12">
        <f t="shared" si="1"/>
        <v>10</v>
      </c>
      <c r="J12" s="8" t="s">
        <v>111</v>
      </c>
      <c r="K12" s="33">
        <v>0.87289806098816614</v>
      </c>
      <c r="L12" s="58"/>
      <c r="M12">
        <f t="shared" si="2"/>
        <v>10</v>
      </c>
      <c r="N12" t="s">
        <v>127</v>
      </c>
      <c r="O12" s="33">
        <v>2.0964216078697797</v>
      </c>
      <c r="Q12">
        <f t="shared" si="3"/>
        <v>10</v>
      </c>
      <c r="R12" t="s">
        <v>157</v>
      </c>
      <c r="S12" s="17">
        <v>0.75712446031283953</v>
      </c>
      <c r="U12">
        <v>10</v>
      </c>
      <c r="V12" t="s">
        <v>115</v>
      </c>
      <c r="W12">
        <v>0.74911021543008149</v>
      </c>
      <c r="X12" s="57"/>
      <c r="Y12">
        <v>10</v>
      </c>
      <c r="Z12" s="8" t="s">
        <v>95</v>
      </c>
      <c r="AA12" s="17">
        <v>0.69321218142645136</v>
      </c>
    </row>
    <row r="13" spans="1:27" x14ac:dyDescent="0.25">
      <c r="A13">
        <f t="shared" si="0"/>
        <v>11</v>
      </c>
      <c r="B13" s="8" t="s">
        <v>150</v>
      </c>
      <c r="C13" s="17">
        <v>1.0768762596773842</v>
      </c>
      <c r="D13" s="57"/>
      <c r="E13">
        <v>11</v>
      </c>
      <c r="F13" s="8" t="s">
        <v>105</v>
      </c>
      <c r="G13" s="17">
        <v>7.4284780173615006E-2</v>
      </c>
      <c r="H13" s="57"/>
      <c r="I13">
        <f t="shared" si="1"/>
        <v>11</v>
      </c>
      <c r="J13" s="8" t="s">
        <v>123</v>
      </c>
      <c r="K13" s="33">
        <v>0.78209051277059594</v>
      </c>
      <c r="L13" s="58"/>
      <c r="M13">
        <f t="shared" si="2"/>
        <v>11</v>
      </c>
      <c r="N13" t="s">
        <v>75</v>
      </c>
      <c r="O13" s="33">
        <v>1.8516440192157146</v>
      </c>
      <c r="Q13">
        <f t="shared" si="3"/>
        <v>11</v>
      </c>
      <c r="R13" t="s">
        <v>129</v>
      </c>
      <c r="S13" s="17">
        <v>0.75109030962553291</v>
      </c>
      <c r="U13">
        <v>11</v>
      </c>
      <c r="V13" t="s">
        <v>113</v>
      </c>
      <c r="W13">
        <v>0.63906618511007629</v>
      </c>
      <c r="X13" s="57"/>
      <c r="Y13">
        <v>11</v>
      </c>
      <c r="Z13" s="8" t="s">
        <v>113</v>
      </c>
      <c r="AA13" s="17">
        <v>0.5563476218279898</v>
      </c>
    </row>
    <row r="14" spans="1:27" x14ac:dyDescent="0.25">
      <c r="A14">
        <f t="shared" si="0"/>
        <v>12</v>
      </c>
      <c r="B14" s="8" t="s">
        <v>93</v>
      </c>
      <c r="C14" s="17">
        <v>0.59948540296895891</v>
      </c>
      <c r="D14" s="57"/>
      <c r="E14">
        <v>12</v>
      </c>
      <c r="F14" s="8" t="s">
        <v>141</v>
      </c>
      <c r="G14" s="17">
        <v>-1.2013419201248321E-5</v>
      </c>
      <c r="H14" s="57"/>
      <c r="I14">
        <f t="shared" si="1"/>
        <v>12</v>
      </c>
      <c r="J14" s="8" t="s">
        <v>105</v>
      </c>
      <c r="K14" s="33">
        <v>0.56230204750588286</v>
      </c>
      <c r="L14" s="58"/>
      <c r="M14">
        <f t="shared" si="2"/>
        <v>12</v>
      </c>
      <c r="N14" t="s">
        <v>131</v>
      </c>
      <c r="O14" s="33">
        <v>1.7001724679917187</v>
      </c>
      <c r="Q14">
        <f t="shared" si="3"/>
        <v>12</v>
      </c>
      <c r="R14" t="s">
        <v>158</v>
      </c>
      <c r="S14" s="17">
        <v>0.67474951122746774</v>
      </c>
      <c r="U14">
        <v>12</v>
      </c>
      <c r="V14" t="s">
        <v>65</v>
      </c>
      <c r="W14">
        <v>0.60376885477280573</v>
      </c>
      <c r="X14" s="57"/>
      <c r="Y14">
        <v>12</v>
      </c>
      <c r="Z14" s="8" t="s">
        <v>65</v>
      </c>
      <c r="AA14" s="17">
        <v>0.44289537878627522</v>
      </c>
    </row>
    <row r="15" spans="1:27" x14ac:dyDescent="0.25">
      <c r="A15">
        <f t="shared" si="0"/>
        <v>13</v>
      </c>
      <c r="B15" s="8" t="s">
        <v>115</v>
      </c>
      <c r="C15" s="17">
        <v>0.46096257960709763</v>
      </c>
      <c r="D15" s="57"/>
      <c r="E15">
        <v>13</v>
      </c>
      <c r="F15" s="8" t="s">
        <v>123</v>
      </c>
      <c r="G15" s="17">
        <v>-1.0292278576958858E-2</v>
      </c>
      <c r="H15" s="57"/>
      <c r="I15">
        <f t="shared" si="1"/>
        <v>13</v>
      </c>
      <c r="J15" s="8" t="s">
        <v>73</v>
      </c>
      <c r="K15" s="33">
        <v>0.54786950947079704</v>
      </c>
      <c r="L15" s="58"/>
      <c r="M15">
        <f t="shared" si="2"/>
        <v>13</v>
      </c>
      <c r="N15" t="s">
        <v>159</v>
      </c>
      <c r="O15" s="33">
        <v>1.6785876550389955</v>
      </c>
      <c r="Q15">
        <f t="shared" si="3"/>
        <v>13</v>
      </c>
      <c r="R15" t="s">
        <v>111</v>
      </c>
      <c r="S15" s="17">
        <v>0.59673467184343132</v>
      </c>
      <c r="U15">
        <v>13</v>
      </c>
      <c r="V15" t="s">
        <v>99</v>
      </c>
      <c r="W15">
        <v>0.54843324953025929</v>
      </c>
      <c r="X15" s="57"/>
      <c r="Y15">
        <v>13</v>
      </c>
      <c r="Z15" s="8" t="s">
        <v>99</v>
      </c>
      <c r="AA15" s="17">
        <v>0.41300191198614417</v>
      </c>
    </row>
    <row r="16" spans="1:27" x14ac:dyDescent="0.25">
      <c r="A16">
        <f t="shared" si="0"/>
        <v>14</v>
      </c>
      <c r="B16" s="8" t="s">
        <v>65</v>
      </c>
      <c r="C16" s="17">
        <v>0.26463259121124139</v>
      </c>
      <c r="D16" s="57"/>
      <c r="E16">
        <v>14</v>
      </c>
      <c r="F16" s="8" t="s">
        <v>97</v>
      </c>
      <c r="G16" s="17">
        <v>-3.6181979410927503E-2</v>
      </c>
      <c r="H16" s="57"/>
      <c r="I16">
        <f t="shared" si="1"/>
        <v>14</v>
      </c>
      <c r="J16" s="8" t="s">
        <v>155</v>
      </c>
      <c r="K16" s="33">
        <v>0.49398697625797316</v>
      </c>
      <c r="L16" s="58"/>
      <c r="M16">
        <f t="shared" si="2"/>
        <v>14</v>
      </c>
      <c r="N16" t="s">
        <v>150</v>
      </c>
      <c r="O16" s="33">
        <v>1.5337179215782051</v>
      </c>
      <c r="Q16">
        <f t="shared" si="3"/>
        <v>14</v>
      </c>
      <c r="R16" t="s">
        <v>135</v>
      </c>
      <c r="S16" s="17">
        <v>0.42030520050775377</v>
      </c>
      <c r="U16">
        <v>14</v>
      </c>
      <c r="V16" t="s">
        <v>93</v>
      </c>
      <c r="W16">
        <v>0.4441798373484811</v>
      </c>
      <c r="X16" s="57"/>
      <c r="Y16">
        <v>14</v>
      </c>
      <c r="Z16" s="8" t="s">
        <v>93</v>
      </c>
      <c r="AA16" s="17">
        <v>0.3351032798905107</v>
      </c>
    </row>
    <row r="17" spans="1:27" x14ac:dyDescent="0.25">
      <c r="A17">
        <f t="shared" si="0"/>
        <v>15</v>
      </c>
      <c r="B17" s="8" t="s">
        <v>153</v>
      </c>
      <c r="C17" s="17">
        <v>8.6306504136260648E-2</v>
      </c>
      <c r="D17" s="57"/>
      <c r="E17">
        <v>15</v>
      </c>
      <c r="F17" s="8" t="s">
        <v>89</v>
      </c>
      <c r="G17" s="17">
        <v>-4.0375556330804731E-2</v>
      </c>
      <c r="H17" s="57"/>
      <c r="I17">
        <f t="shared" si="1"/>
        <v>15</v>
      </c>
      <c r="J17" s="8" t="s">
        <v>93</v>
      </c>
      <c r="K17" s="33">
        <v>0.4384236212315914</v>
      </c>
      <c r="L17" s="58"/>
      <c r="M17">
        <f t="shared" si="2"/>
        <v>15</v>
      </c>
      <c r="N17" t="s">
        <v>115</v>
      </c>
      <c r="O17" s="33">
        <v>1.4731990572560079</v>
      </c>
      <c r="Q17">
        <f t="shared" si="3"/>
        <v>15</v>
      </c>
      <c r="R17" t="s">
        <v>101</v>
      </c>
      <c r="S17" s="17">
        <v>0.41620559355371201</v>
      </c>
      <c r="U17">
        <v>15</v>
      </c>
      <c r="V17" t="s">
        <v>150</v>
      </c>
      <c r="W17">
        <v>0.3935343458371216</v>
      </c>
      <c r="X17" s="57"/>
      <c r="Y17">
        <v>15</v>
      </c>
      <c r="Z17" s="8" t="s">
        <v>150</v>
      </c>
      <c r="AA17" s="17">
        <v>0.27739955928250404</v>
      </c>
    </row>
    <row r="18" spans="1:27" x14ac:dyDescent="0.25">
      <c r="A18">
        <f t="shared" si="0"/>
        <v>16</v>
      </c>
      <c r="B18" s="8" t="s">
        <v>99</v>
      </c>
      <c r="C18" s="17">
        <v>-7.0788019536415475E-2</v>
      </c>
      <c r="D18" s="57"/>
      <c r="E18">
        <v>16</v>
      </c>
      <c r="F18" s="8" t="s">
        <v>115</v>
      </c>
      <c r="G18" s="17">
        <v>-0.18315755501880601</v>
      </c>
      <c r="H18" s="57"/>
      <c r="I18">
        <f t="shared" si="1"/>
        <v>16</v>
      </c>
      <c r="J18" s="8" t="s">
        <v>131</v>
      </c>
      <c r="K18" s="33">
        <v>0.39568029084690576</v>
      </c>
      <c r="L18" s="58"/>
      <c r="M18">
        <f t="shared" si="2"/>
        <v>16</v>
      </c>
      <c r="N18" t="s">
        <v>83</v>
      </c>
      <c r="O18" s="33">
        <v>1.1554089485821226</v>
      </c>
      <c r="Q18">
        <f t="shared" si="3"/>
        <v>16</v>
      </c>
      <c r="R18" t="s">
        <v>65</v>
      </c>
      <c r="S18" s="17">
        <v>0.14598955634452537</v>
      </c>
      <c r="U18">
        <v>16</v>
      </c>
      <c r="V18" t="s">
        <v>70</v>
      </c>
      <c r="W18">
        <v>0.36149127414958288</v>
      </c>
      <c r="X18" s="57"/>
      <c r="Y18">
        <v>16</v>
      </c>
      <c r="Z18" s="8" t="s">
        <v>129</v>
      </c>
      <c r="AA18" s="17">
        <v>0.19746409846239865</v>
      </c>
    </row>
    <row r="19" spans="1:27" x14ac:dyDescent="0.25">
      <c r="A19">
        <f t="shared" si="0"/>
        <v>17</v>
      </c>
      <c r="B19" s="8" t="s">
        <v>123</v>
      </c>
      <c r="C19" s="17">
        <v>-0.1392769985442695</v>
      </c>
      <c r="D19" s="57"/>
      <c r="E19">
        <v>17</v>
      </c>
      <c r="F19" s="8" t="s">
        <v>117</v>
      </c>
      <c r="G19" s="17">
        <v>-0.18333140510888302</v>
      </c>
      <c r="H19" s="57"/>
      <c r="I19">
        <f t="shared" si="1"/>
        <v>17</v>
      </c>
      <c r="J19" s="8" t="s">
        <v>109</v>
      </c>
      <c r="K19" s="33">
        <v>0.3878116203493141</v>
      </c>
      <c r="L19" s="58"/>
      <c r="M19">
        <f t="shared" si="2"/>
        <v>17</v>
      </c>
      <c r="N19" t="s">
        <v>119</v>
      </c>
      <c r="O19" s="33">
        <v>1.0574954859878813</v>
      </c>
      <c r="Q19">
        <f t="shared" si="3"/>
        <v>17</v>
      </c>
      <c r="R19" t="s">
        <v>152</v>
      </c>
      <c r="S19" s="17">
        <v>0.10034171059953761</v>
      </c>
      <c r="U19">
        <v>17</v>
      </c>
      <c r="V19" t="s">
        <v>129</v>
      </c>
      <c r="W19">
        <v>0.1503629910588121</v>
      </c>
      <c r="X19" s="57"/>
      <c r="Y19">
        <v>17</v>
      </c>
      <c r="Z19" s="8" t="s">
        <v>70</v>
      </c>
      <c r="AA19" s="17">
        <v>0.17309232367112848</v>
      </c>
    </row>
    <row r="20" spans="1:27" x14ac:dyDescent="0.25">
      <c r="A20">
        <f t="shared" si="0"/>
        <v>18</v>
      </c>
      <c r="B20" s="8" t="s">
        <v>137</v>
      </c>
      <c r="C20" s="17">
        <v>-0.26234027786565772</v>
      </c>
      <c r="D20" s="57"/>
      <c r="E20">
        <v>18</v>
      </c>
      <c r="F20" s="8" t="s">
        <v>113</v>
      </c>
      <c r="G20" s="17">
        <v>-0.18682232009255639</v>
      </c>
      <c r="H20" s="57"/>
      <c r="I20">
        <f t="shared" si="1"/>
        <v>18</v>
      </c>
      <c r="J20" s="8" t="s">
        <v>129</v>
      </c>
      <c r="K20" s="33">
        <v>0.28007923558966735</v>
      </c>
      <c r="L20" s="58"/>
      <c r="M20">
        <f t="shared" si="2"/>
        <v>18</v>
      </c>
      <c r="N20" t="s">
        <v>109</v>
      </c>
      <c r="O20" s="33">
        <v>0.93250716081834839</v>
      </c>
      <c r="Q20">
        <f t="shared" si="3"/>
        <v>18</v>
      </c>
      <c r="R20" t="s">
        <v>83</v>
      </c>
      <c r="S20" s="17">
        <v>1.6553349942987738E-2</v>
      </c>
      <c r="U20">
        <v>18</v>
      </c>
      <c r="V20" t="s">
        <v>123</v>
      </c>
      <c r="W20">
        <v>0.13000952742380886</v>
      </c>
      <c r="X20" s="57"/>
      <c r="Y20">
        <v>18</v>
      </c>
      <c r="Z20" s="8" t="s">
        <v>123</v>
      </c>
      <c r="AA20" s="17">
        <v>-3.5132867706135079E-2</v>
      </c>
    </row>
    <row r="21" spans="1:27" x14ac:dyDescent="0.25">
      <c r="A21">
        <f t="shared" si="0"/>
        <v>19</v>
      </c>
      <c r="B21" s="8" t="s">
        <v>91</v>
      </c>
      <c r="C21" s="17">
        <v>-0.3011511789980873</v>
      </c>
      <c r="D21" s="57"/>
      <c r="E21">
        <v>19</v>
      </c>
      <c r="F21" s="8" t="s">
        <v>155</v>
      </c>
      <c r="G21" s="17">
        <v>-0.19990329314416594</v>
      </c>
      <c r="H21" s="57"/>
      <c r="I21">
        <f t="shared" si="1"/>
        <v>19</v>
      </c>
      <c r="J21" s="8" t="s">
        <v>150</v>
      </c>
      <c r="K21" s="33">
        <v>0.27994566231198337</v>
      </c>
      <c r="L21" s="58"/>
      <c r="M21">
        <f t="shared" si="2"/>
        <v>19</v>
      </c>
      <c r="N21" t="s">
        <v>152</v>
      </c>
      <c r="O21" s="33">
        <v>0.88383754016118066</v>
      </c>
      <c r="Q21">
        <f t="shared" si="3"/>
        <v>19</v>
      </c>
      <c r="R21" t="s">
        <v>137</v>
      </c>
      <c r="S21" s="17">
        <v>-3.7019259983590569E-3</v>
      </c>
      <c r="U21">
        <v>19</v>
      </c>
      <c r="V21" t="s">
        <v>135</v>
      </c>
      <c r="W21">
        <v>-0.10748698432207526</v>
      </c>
      <c r="X21" s="57"/>
      <c r="Y21">
        <v>19</v>
      </c>
      <c r="Z21" s="8" t="s">
        <v>135</v>
      </c>
      <c r="AA21" s="17">
        <v>-4.146746083988042E-2</v>
      </c>
    </row>
    <row r="22" spans="1:27" x14ac:dyDescent="0.25">
      <c r="A22">
        <f t="shared" si="0"/>
        <v>20</v>
      </c>
      <c r="B22" s="8" t="s">
        <v>157</v>
      </c>
      <c r="C22" s="17">
        <v>-0.3382766483495987</v>
      </c>
      <c r="D22" s="57"/>
      <c r="E22">
        <v>20</v>
      </c>
      <c r="F22" s="8" t="s">
        <v>99</v>
      </c>
      <c r="G22" s="17">
        <v>-0.20142021147316619</v>
      </c>
      <c r="H22" s="57"/>
      <c r="I22">
        <f t="shared" si="1"/>
        <v>20</v>
      </c>
      <c r="J22" s="32" t="s">
        <v>81</v>
      </c>
      <c r="K22" s="33">
        <v>0.24418138985291632</v>
      </c>
      <c r="L22" s="58"/>
      <c r="M22">
        <f t="shared" si="2"/>
        <v>20</v>
      </c>
      <c r="N22" t="s">
        <v>103</v>
      </c>
      <c r="O22" s="33">
        <v>0.81109369938315701</v>
      </c>
      <c r="Q22">
        <f t="shared" si="3"/>
        <v>20</v>
      </c>
      <c r="R22" t="s">
        <v>85</v>
      </c>
      <c r="S22" s="17">
        <v>-8.8125304326282239E-2</v>
      </c>
      <c r="U22">
        <v>20</v>
      </c>
      <c r="V22" t="s">
        <v>155</v>
      </c>
      <c r="W22">
        <v>-0.1191860965791473</v>
      </c>
      <c r="X22" s="57"/>
      <c r="Y22">
        <v>20</v>
      </c>
      <c r="Z22" s="8" t="s">
        <v>101</v>
      </c>
      <c r="AA22" s="17">
        <v>-4.5570201864951559E-2</v>
      </c>
    </row>
    <row r="23" spans="1:27" x14ac:dyDescent="0.25">
      <c r="A23">
        <f t="shared" si="0"/>
        <v>21</v>
      </c>
      <c r="B23" s="8" t="s">
        <v>79</v>
      </c>
      <c r="C23" s="17">
        <v>-0.42734648583391405</v>
      </c>
      <c r="D23" s="57"/>
      <c r="E23">
        <v>21</v>
      </c>
      <c r="F23" s="8" t="s">
        <v>152</v>
      </c>
      <c r="G23" s="17">
        <v>-0.20671760248312268</v>
      </c>
      <c r="H23" s="57"/>
      <c r="I23">
        <f t="shared" si="1"/>
        <v>21</v>
      </c>
      <c r="J23" s="8" t="s">
        <v>75</v>
      </c>
      <c r="K23" s="33">
        <v>0.20140485100026445</v>
      </c>
      <c r="L23" s="58"/>
      <c r="M23">
        <f t="shared" si="2"/>
        <v>21</v>
      </c>
      <c r="N23" t="s">
        <v>113</v>
      </c>
      <c r="O23" s="33">
        <v>0.73251788028018527</v>
      </c>
      <c r="Q23">
        <f t="shared" si="3"/>
        <v>21</v>
      </c>
      <c r="R23" t="s">
        <v>159</v>
      </c>
      <c r="S23" s="17">
        <v>-0.10911221864350062</v>
      </c>
      <c r="U23">
        <v>21</v>
      </c>
      <c r="V23" t="s">
        <v>101</v>
      </c>
      <c r="W23">
        <v>-0.13693725703565052</v>
      </c>
      <c r="X23" s="57"/>
      <c r="Y23">
        <v>21</v>
      </c>
      <c r="Z23" s="8" t="s">
        <v>109</v>
      </c>
      <c r="AA23" s="17">
        <v>-0.16510358955618681</v>
      </c>
    </row>
    <row r="24" spans="1:27" x14ac:dyDescent="0.25">
      <c r="A24">
        <f t="shared" si="0"/>
        <v>22</v>
      </c>
      <c r="B24" s="8" t="s">
        <v>89</v>
      </c>
      <c r="C24" s="17">
        <v>-0.53765497201781387</v>
      </c>
      <c r="D24" s="57"/>
      <c r="E24">
        <v>22</v>
      </c>
      <c r="F24" s="8" t="s">
        <v>121</v>
      </c>
      <c r="G24" s="17">
        <v>-0.26708501573762999</v>
      </c>
      <c r="H24" s="57"/>
      <c r="I24">
        <f t="shared" si="1"/>
        <v>22</v>
      </c>
      <c r="J24" s="8" t="s">
        <v>152</v>
      </c>
      <c r="K24" s="33">
        <v>2.1504942585566428E-2</v>
      </c>
      <c r="L24" s="58"/>
      <c r="M24">
        <f t="shared" si="2"/>
        <v>22</v>
      </c>
      <c r="N24" t="s">
        <v>79</v>
      </c>
      <c r="O24" s="33">
        <v>0.70190448545690665</v>
      </c>
      <c r="Q24">
        <f t="shared" si="3"/>
        <v>22</v>
      </c>
      <c r="R24" t="s">
        <v>73</v>
      </c>
      <c r="S24" s="17">
        <v>-0.16163618212234859</v>
      </c>
      <c r="U24">
        <v>22</v>
      </c>
      <c r="V24" t="s">
        <v>109</v>
      </c>
      <c r="W24">
        <v>-0.20558708119827412</v>
      </c>
      <c r="X24" s="57"/>
      <c r="Y24">
        <v>22</v>
      </c>
      <c r="Z24" s="8" t="s">
        <v>155</v>
      </c>
      <c r="AA24" s="17">
        <v>-0.23653471612233876</v>
      </c>
    </row>
    <row r="25" spans="1:27" x14ac:dyDescent="0.25">
      <c r="A25">
        <f t="shared" si="0"/>
        <v>23</v>
      </c>
      <c r="B25" s="8" t="s">
        <v>160</v>
      </c>
      <c r="C25" s="17">
        <v>-0.56973403038703019</v>
      </c>
      <c r="D25" s="57"/>
      <c r="E25">
        <v>23</v>
      </c>
      <c r="F25" s="8" t="s">
        <v>154</v>
      </c>
      <c r="G25" s="17">
        <v>-0.27998692459006458</v>
      </c>
      <c r="H25" s="57"/>
      <c r="I25">
        <f t="shared" si="1"/>
        <v>23</v>
      </c>
      <c r="J25" s="8" t="s">
        <v>89</v>
      </c>
      <c r="K25" s="33">
        <v>-0.10879155386804534</v>
      </c>
      <c r="L25" s="58"/>
      <c r="M25">
        <f t="shared" si="2"/>
        <v>23</v>
      </c>
      <c r="N25" t="s">
        <v>70</v>
      </c>
      <c r="O25" s="33">
        <v>0.69804797171113986</v>
      </c>
      <c r="Q25">
        <f t="shared" si="3"/>
        <v>23</v>
      </c>
      <c r="R25" t="s">
        <v>107</v>
      </c>
      <c r="S25" s="17">
        <v>-0.17873977005470601</v>
      </c>
      <c r="U25">
        <v>23</v>
      </c>
      <c r="V25" t="s">
        <v>73</v>
      </c>
      <c r="W25">
        <v>-0.30356733223708732</v>
      </c>
      <c r="X25" s="57"/>
      <c r="Y25">
        <v>23</v>
      </c>
      <c r="Z25" s="8" t="s">
        <v>159</v>
      </c>
      <c r="AA25" s="17">
        <v>-0.29574419834954951</v>
      </c>
    </row>
    <row r="26" spans="1:27" x14ac:dyDescent="0.25">
      <c r="A26">
        <f t="shared" si="0"/>
        <v>24</v>
      </c>
      <c r="B26" s="8" t="s">
        <v>117</v>
      </c>
      <c r="C26" s="17">
        <v>-0.65285445219787064</v>
      </c>
      <c r="D26" s="57"/>
      <c r="E26">
        <v>24</v>
      </c>
      <c r="F26" s="8" t="s">
        <v>73</v>
      </c>
      <c r="G26" s="17">
        <v>-0.28683949134278952</v>
      </c>
      <c r="H26" s="57"/>
      <c r="I26">
        <f t="shared" si="1"/>
        <v>24</v>
      </c>
      <c r="J26" s="8" t="s">
        <v>87</v>
      </c>
      <c r="K26" s="33">
        <v>-0.14131485527401502</v>
      </c>
      <c r="L26" s="58"/>
      <c r="M26">
        <f t="shared" si="2"/>
        <v>24</v>
      </c>
      <c r="N26" t="s">
        <v>123</v>
      </c>
      <c r="O26" s="33">
        <v>0.25940671862119591</v>
      </c>
      <c r="Q26">
        <f t="shared" si="3"/>
        <v>24</v>
      </c>
      <c r="R26" t="s">
        <v>81</v>
      </c>
      <c r="S26" s="17">
        <v>-0.19863746021785655</v>
      </c>
      <c r="U26">
        <v>24</v>
      </c>
      <c r="V26" t="s">
        <v>159</v>
      </c>
      <c r="W26">
        <v>-0.32206178242760131</v>
      </c>
      <c r="X26" s="57"/>
      <c r="Y26">
        <v>24</v>
      </c>
      <c r="Z26" s="32" t="s">
        <v>137</v>
      </c>
      <c r="AA26" s="17">
        <v>-0.31415915005106554</v>
      </c>
    </row>
    <row r="27" spans="1:27" x14ac:dyDescent="0.25">
      <c r="A27">
        <f t="shared" si="0"/>
        <v>25</v>
      </c>
      <c r="B27" s="8" t="s">
        <v>105</v>
      </c>
      <c r="C27" s="17">
        <v>-0.7364863106714552</v>
      </c>
      <c r="D27" s="57"/>
      <c r="E27">
        <v>25</v>
      </c>
      <c r="F27" s="8" t="s">
        <v>137</v>
      </c>
      <c r="G27" s="17">
        <v>-0.29428856836672451</v>
      </c>
      <c r="H27" s="57"/>
      <c r="I27">
        <f t="shared" si="1"/>
        <v>25</v>
      </c>
      <c r="J27" s="8" t="s">
        <v>99</v>
      </c>
      <c r="K27" s="33">
        <v>-0.16723020429939919</v>
      </c>
      <c r="L27" s="58"/>
      <c r="M27">
        <f t="shared" si="2"/>
        <v>25</v>
      </c>
      <c r="N27" t="s">
        <v>67</v>
      </c>
      <c r="O27" s="33">
        <v>0.24430286182451674</v>
      </c>
      <c r="Q27">
        <f t="shared" si="3"/>
        <v>25</v>
      </c>
      <c r="R27" t="s">
        <v>75</v>
      </c>
      <c r="S27" s="17">
        <v>-0.21152977576627019</v>
      </c>
      <c r="U27">
        <v>25</v>
      </c>
      <c r="V27" t="s">
        <v>89</v>
      </c>
      <c r="W27">
        <v>-0.37152575086216111</v>
      </c>
      <c r="X27" s="57"/>
      <c r="Y27">
        <v>25</v>
      </c>
      <c r="Z27" s="8" t="s">
        <v>73</v>
      </c>
      <c r="AA27" s="17">
        <v>-0.37451790139640184</v>
      </c>
    </row>
    <row r="28" spans="1:27" x14ac:dyDescent="0.25">
      <c r="A28">
        <f t="shared" si="0"/>
        <v>26</v>
      </c>
      <c r="B28" s="8" t="s">
        <v>159</v>
      </c>
      <c r="C28" s="17">
        <v>-0.76763386519599963</v>
      </c>
      <c r="D28" s="57"/>
      <c r="E28">
        <v>26</v>
      </c>
      <c r="F28" s="8" t="s">
        <v>70</v>
      </c>
      <c r="G28" s="17">
        <v>-0.3372784366126983</v>
      </c>
      <c r="H28" s="57"/>
      <c r="I28">
        <f t="shared" si="1"/>
        <v>26</v>
      </c>
      <c r="J28" s="8" t="s">
        <v>135</v>
      </c>
      <c r="K28" s="33">
        <v>-0.2398900343141947</v>
      </c>
      <c r="L28" s="58"/>
      <c r="M28">
        <f t="shared" si="2"/>
        <v>26</v>
      </c>
      <c r="N28" t="s">
        <v>137</v>
      </c>
      <c r="O28" s="33">
        <v>5.7077023814070454E-2</v>
      </c>
      <c r="Q28">
        <f t="shared" si="3"/>
        <v>26</v>
      </c>
      <c r="R28" t="s">
        <v>131</v>
      </c>
      <c r="S28" s="17">
        <v>-0.33350281275857452</v>
      </c>
      <c r="U28">
        <v>26</v>
      </c>
      <c r="V28" t="s">
        <v>75</v>
      </c>
      <c r="W28">
        <v>-0.40266771131860946</v>
      </c>
      <c r="X28" s="57"/>
      <c r="Y28">
        <v>26</v>
      </c>
      <c r="Z28" s="8" t="s">
        <v>89</v>
      </c>
      <c r="AA28" s="17">
        <v>-0.43878205019755334</v>
      </c>
    </row>
    <row r="29" spans="1:27" x14ac:dyDescent="0.25">
      <c r="A29">
        <f t="shared" si="0"/>
        <v>27</v>
      </c>
      <c r="B29" s="8" t="s">
        <v>73</v>
      </c>
      <c r="C29" s="17">
        <v>-0.80128814348756583</v>
      </c>
      <c r="D29" s="57"/>
      <c r="E29">
        <v>27</v>
      </c>
      <c r="F29" s="8" t="s">
        <v>133</v>
      </c>
      <c r="G29" s="17">
        <v>-0.35059746617372156</v>
      </c>
      <c r="H29" s="57"/>
      <c r="I29">
        <f t="shared" si="1"/>
        <v>27</v>
      </c>
      <c r="J29" s="8" t="s">
        <v>153</v>
      </c>
      <c r="K29" s="33">
        <v>-0.24099087571864664</v>
      </c>
      <c r="L29" s="58"/>
      <c r="M29">
        <f t="shared" si="2"/>
        <v>27</v>
      </c>
      <c r="N29" t="s">
        <v>156</v>
      </c>
      <c r="O29" s="33">
        <v>-0.15482297711421034</v>
      </c>
      <c r="Q29">
        <f t="shared" si="3"/>
        <v>27</v>
      </c>
      <c r="R29" t="s">
        <v>119</v>
      </c>
      <c r="S29" s="17">
        <v>-0.47134181039470296</v>
      </c>
      <c r="U29">
        <v>27</v>
      </c>
      <c r="V29" t="s">
        <v>137</v>
      </c>
      <c r="W29">
        <v>-0.43846552110253256</v>
      </c>
      <c r="X29" s="57"/>
      <c r="Y29">
        <v>27</v>
      </c>
      <c r="Z29" s="8" t="s">
        <v>75</v>
      </c>
      <c r="AA29" s="17">
        <v>-0.44396117399526291</v>
      </c>
    </row>
    <row r="30" spans="1:27" x14ac:dyDescent="0.25">
      <c r="A30">
        <f t="shared" si="0"/>
        <v>28</v>
      </c>
      <c r="B30" s="8" t="s">
        <v>135</v>
      </c>
      <c r="C30" s="17">
        <v>-0.83944515638624329</v>
      </c>
      <c r="D30" s="57"/>
      <c r="E30">
        <v>28</v>
      </c>
      <c r="F30" s="32" t="s">
        <v>135</v>
      </c>
      <c r="G30" s="17">
        <v>-0.41011934806411365</v>
      </c>
      <c r="H30" s="57"/>
      <c r="I30">
        <f t="shared" si="1"/>
        <v>28</v>
      </c>
      <c r="J30" s="8" t="s">
        <v>139</v>
      </c>
      <c r="K30" s="33">
        <v>-0.25842244523327962</v>
      </c>
      <c r="L30" s="58"/>
      <c r="M30">
        <f t="shared" si="2"/>
        <v>28</v>
      </c>
      <c r="N30" t="s">
        <v>154</v>
      </c>
      <c r="O30" s="33">
        <v>-0.3023688947754436</v>
      </c>
      <c r="Q30">
        <f t="shared" si="3"/>
        <v>28</v>
      </c>
      <c r="R30" t="s">
        <v>153</v>
      </c>
      <c r="S30" s="17">
        <v>-0.57142339730546154</v>
      </c>
      <c r="U30">
        <v>28</v>
      </c>
      <c r="V30" t="s">
        <v>153</v>
      </c>
      <c r="W30">
        <v>-0.47082919951487417</v>
      </c>
      <c r="X30" s="57"/>
      <c r="Y30">
        <v>28</v>
      </c>
      <c r="Z30" s="8" t="s">
        <v>153</v>
      </c>
      <c r="AA30" s="17">
        <v>-0.50387245167355565</v>
      </c>
    </row>
    <row r="31" spans="1:27" x14ac:dyDescent="0.25">
      <c r="A31">
        <f t="shared" si="0"/>
        <v>29</v>
      </c>
      <c r="B31" s="32" t="s">
        <v>70</v>
      </c>
      <c r="C31" s="17">
        <v>-0.93509703829804613</v>
      </c>
      <c r="D31" s="57"/>
      <c r="E31">
        <v>29</v>
      </c>
      <c r="F31" s="8" t="s">
        <v>91</v>
      </c>
      <c r="G31" s="17">
        <v>-0.4129228942094389</v>
      </c>
      <c r="H31" s="57"/>
      <c r="I31">
        <f t="shared" si="1"/>
        <v>29</v>
      </c>
      <c r="J31" s="8" t="s">
        <v>91</v>
      </c>
      <c r="K31" s="33">
        <v>-0.29642551863529798</v>
      </c>
      <c r="L31" s="58"/>
      <c r="M31">
        <f t="shared" si="2"/>
        <v>29</v>
      </c>
      <c r="N31" t="s">
        <v>73</v>
      </c>
      <c r="O31" s="33">
        <v>-0.32296561940622376</v>
      </c>
      <c r="Q31">
        <f t="shared" si="3"/>
        <v>29</v>
      </c>
      <c r="R31" t="s">
        <v>121</v>
      </c>
      <c r="S31" s="17">
        <v>-0.62306382523744164</v>
      </c>
      <c r="U31">
        <v>29</v>
      </c>
      <c r="V31" t="s">
        <v>105</v>
      </c>
      <c r="W31">
        <v>-0.51610776496739741</v>
      </c>
      <c r="X31" s="57"/>
      <c r="Y31">
        <v>29</v>
      </c>
      <c r="Z31" s="8" t="s">
        <v>141</v>
      </c>
      <c r="AA31" s="17">
        <v>-0.50675222441025958</v>
      </c>
    </row>
    <row r="32" spans="1:27" x14ac:dyDescent="0.25">
      <c r="A32">
        <f t="shared" si="0"/>
        <v>30</v>
      </c>
      <c r="B32" s="8" t="s">
        <v>133</v>
      </c>
      <c r="C32" s="17">
        <v>-1.0435882673936796</v>
      </c>
      <c r="D32" s="57"/>
      <c r="E32">
        <v>30</v>
      </c>
      <c r="F32" s="8" t="s">
        <v>159</v>
      </c>
      <c r="G32" s="17">
        <v>-0.41940309493742073</v>
      </c>
      <c r="H32" s="57"/>
      <c r="I32">
        <f t="shared" si="1"/>
        <v>30</v>
      </c>
      <c r="J32" s="8" t="s">
        <v>159</v>
      </c>
      <c r="K32" s="33">
        <v>-0.37228805942401882</v>
      </c>
      <c r="L32" s="58"/>
      <c r="M32">
        <f t="shared" si="2"/>
        <v>30</v>
      </c>
      <c r="N32" t="s">
        <v>87</v>
      </c>
      <c r="O32" s="33">
        <v>-0.38547714527844734</v>
      </c>
      <c r="Q32">
        <f t="shared" si="3"/>
        <v>30</v>
      </c>
      <c r="R32" t="s">
        <v>139</v>
      </c>
      <c r="S32" s="17">
        <v>-0.63281569006879279</v>
      </c>
      <c r="U32">
        <v>30</v>
      </c>
      <c r="V32" t="s">
        <v>91</v>
      </c>
      <c r="W32">
        <v>-0.52195675140211928</v>
      </c>
      <c r="X32" s="57"/>
      <c r="Y32">
        <v>30</v>
      </c>
      <c r="Z32" s="8" t="s">
        <v>117</v>
      </c>
      <c r="AA32" s="17">
        <v>-0.58156266999869244</v>
      </c>
    </row>
    <row r="33" spans="1:27" x14ac:dyDescent="0.25">
      <c r="A33">
        <f t="shared" si="0"/>
        <v>31</v>
      </c>
      <c r="B33" s="8" t="s">
        <v>75</v>
      </c>
      <c r="C33" s="17">
        <v>-1.0562979965866708</v>
      </c>
      <c r="D33" s="57"/>
      <c r="E33">
        <v>31</v>
      </c>
      <c r="F33" s="8" t="s">
        <v>93</v>
      </c>
      <c r="G33" s="17">
        <v>-0.53806140228892829</v>
      </c>
      <c r="H33" s="57"/>
      <c r="I33">
        <f t="shared" si="1"/>
        <v>31</v>
      </c>
      <c r="J33" s="8" t="s">
        <v>158</v>
      </c>
      <c r="K33" s="33">
        <v>-0.47953044042812676</v>
      </c>
      <c r="L33" s="58"/>
      <c r="M33">
        <f t="shared" si="2"/>
        <v>31</v>
      </c>
      <c r="N33" t="s">
        <v>85</v>
      </c>
      <c r="O33" s="33">
        <v>-0.69692577689299062</v>
      </c>
      <c r="Q33">
        <f t="shared" si="3"/>
        <v>31</v>
      </c>
      <c r="R33" t="s">
        <v>93</v>
      </c>
      <c r="S33" s="17">
        <v>-0.65234195334811274</v>
      </c>
      <c r="U33">
        <v>31</v>
      </c>
      <c r="V33" t="s">
        <v>117</v>
      </c>
      <c r="W33">
        <v>-0.54367802899653495</v>
      </c>
      <c r="X33" s="57"/>
      <c r="Y33">
        <v>31</v>
      </c>
      <c r="Z33" s="8" t="s">
        <v>152</v>
      </c>
      <c r="AA33" s="17">
        <v>-0.59546516852041986</v>
      </c>
    </row>
    <row r="34" spans="1:27" x14ac:dyDescent="0.25">
      <c r="A34">
        <f t="shared" si="0"/>
        <v>32</v>
      </c>
      <c r="B34" s="8" t="s">
        <v>139</v>
      </c>
      <c r="C34" s="17">
        <v>-1.1614487329539087</v>
      </c>
      <c r="D34" s="57"/>
      <c r="E34">
        <v>32</v>
      </c>
      <c r="F34" s="8" t="s">
        <v>139</v>
      </c>
      <c r="G34" s="17">
        <v>-0.54047475786415733</v>
      </c>
      <c r="H34" s="57"/>
      <c r="I34">
        <f t="shared" si="1"/>
        <v>32</v>
      </c>
      <c r="J34" s="8" t="s">
        <v>101</v>
      </c>
      <c r="K34" s="33">
        <v>-0.49746495815327818</v>
      </c>
      <c r="L34" s="58"/>
      <c r="M34">
        <f t="shared" si="2"/>
        <v>32</v>
      </c>
      <c r="N34" t="s">
        <v>95</v>
      </c>
      <c r="O34" s="33">
        <v>-0.75492438001380979</v>
      </c>
      <c r="Q34">
        <f t="shared" si="3"/>
        <v>32</v>
      </c>
      <c r="R34" t="s">
        <v>87</v>
      </c>
      <c r="S34" s="17">
        <v>-0.6618910262159694</v>
      </c>
      <c r="U34">
        <v>32</v>
      </c>
      <c r="V34" t="s">
        <v>152</v>
      </c>
      <c r="W34">
        <v>-0.60334884532181698</v>
      </c>
      <c r="X34" s="57"/>
      <c r="Y34">
        <v>32</v>
      </c>
      <c r="Z34" s="8" t="s">
        <v>91</v>
      </c>
      <c r="AA34" s="17">
        <v>-0.6524319658448795</v>
      </c>
    </row>
    <row r="35" spans="1:27" x14ac:dyDescent="0.25">
      <c r="A35">
        <f t="shared" si="0"/>
        <v>33</v>
      </c>
      <c r="B35" s="8" t="s">
        <v>129</v>
      </c>
      <c r="C35" s="17">
        <v>-1.1870547821638207</v>
      </c>
      <c r="D35" s="57"/>
      <c r="E35">
        <v>33</v>
      </c>
      <c r="F35" s="8" t="s">
        <v>150</v>
      </c>
      <c r="G35" s="17">
        <v>-0.55066648477194302</v>
      </c>
      <c r="H35" s="57"/>
      <c r="I35">
        <f t="shared" si="1"/>
        <v>33</v>
      </c>
      <c r="J35" s="8" t="s">
        <v>117</v>
      </c>
      <c r="K35" s="33">
        <v>-0.53329533544734709</v>
      </c>
      <c r="L35" s="58"/>
      <c r="M35">
        <f t="shared" si="2"/>
        <v>33</v>
      </c>
      <c r="N35" t="s">
        <v>65</v>
      </c>
      <c r="O35" s="33">
        <v>-0.78260424040638898</v>
      </c>
      <c r="Q35">
        <f t="shared" si="3"/>
        <v>33</v>
      </c>
      <c r="R35" t="s">
        <v>155</v>
      </c>
      <c r="S35" s="17">
        <v>-0.67949921917394096</v>
      </c>
      <c r="U35">
        <v>33</v>
      </c>
      <c r="V35" t="s">
        <v>79</v>
      </c>
      <c r="W35">
        <v>-0.69108526118391467</v>
      </c>
      <c r="X35" s="57"/>
      <c r="Y35">
        <v>33</v>
      </c>
      <c r="Z35" s="8" t="s">
        <v>79</v>
      </c>
      <c r="AA35" s="17">
        <v>-0.7258753768044337</v>
      </c>
    </row>
    <row r="36" spans="1:27" x14ac:dyDescent="0.25">
      <c r="A36">
        <f t="shared" si="0"/>
        <v>34</v>
      </c>
      <c r="B36" s="8" t="s">
        <v>87</v>
      </c>
      <c r="C36" s="17">
        <v>-1.2358236285909445</v>
      </c>
      <c r="D36" s="57"/>
      <c r="E36">
        <v>34</v>
      </c>
      <c r="F36" s="8" t="s">
        <v>107</v>
      </c>
      <c r="G36" s="17">
        <v>-0.55173905053931294</v>
      </c>
      <c r="H36" s="57"/>
      <c r="I36">
        <f t="shared" si="1"/>
        <v>34</v>
      </c>
      <c r="J36" s="8" t="s">
        <v>133</v>
      </c>
      <c r="K36" s="33">
        <v>-0.73999231957457978</v>
      </c>
      <c r="L36" s="58"/>
      <c r="M36">
        <f t="shared" si="2"/>
        <v>34</v>
      </c>
      <c r="N36" t="s">
        <v>121</v>
      </c>
      <c r="O36" s="33">
        <v>-1.0253222922577034</v>
      </c>
      <c r="Q36">
        <f t="shared" si="3"/>
        <v>34</v>
      </c>
      <c r="R36" t="s">
        <v>89</v>
      </c>
      <c r="S36" s="17">
        <v>-0.78135454722196718</v>
      </c>
      <c r="U36">
        <v>34</v>
      </c>
      <c r="V36" t="s">
        <v>87</v>
      </c>
      <c r="W36">
        <v>-0.73092100182786113</v>
      </c>
      <c r="X36" s="57"/>
      <c r="Y36">
        <v>34</v>
      </c>
      <c r="Z36" s="8" t="s">
        <v>105</v>
      </c>
      <c r="AA36" s="17">
        <v>-0.74589528060793331</v>
      </c>
    </row>
    <row r="37" spans="1:27" x14ac:dyDescent="0.25">
      <c r="A37">
        <f t="shared" si="0"/>
        <v>35</v>
      </c>
      <c r="B37" s="8" t="s">
        <v>155</v>
      </c>
      <c r="C37" s="17">
        <v>-1.2503069152586064</v>
      </c>
      <c r="D37" s="57"/>
      <c r="E37">
        <v>35</v>
      </c>
      <c r="F37" s="8" t="s">
        <v>153</v>
      </c>
      <c r="G37" s="17">
        <v>-0.57627217738610825</v>
      </c>
      <c r="H37" s="57"/>
      <c r="I37">
        <f t="shared" si="1"/>
        <v>35</v>
      </c>
      <c r="J37" s="8" t="s">
        <v>119</v>
      </c>
      <c r="K37" s="33">
        <v>-0.78857978057321887</v>
      </c>
      <c r="L37" s="58"/>
      <c r="M37">
        <f t="shared" si="2"/>
        <v>35</v>
      </c>
      <c r="N37" t="s">
        <v>107</v>
      </c>
      <c r="O37" s="33">
        <v>-1.1267632031954391</v>
      </c>
      <c r="Q37">
        <f t="shared" si="3"/>
        <v>35</v>
      </c>
      <c r="R37" t="s">
        <v>123</v>
      </c>
      <c r="S37" s="17">
        <v>-0.86933343852884337</v>
      </c>
      <c r="U37">
        <v>35</v>
      </c>
      <c r="V37" t="s">
        <v>141</v>
      </c>
      <c r="W37">
        <v>-0.80727353162462689</v>
      </c>
      <c r="X37" s="57"/>
      <c r="Y37">
        <v>35</v>
      </c>
      <c r="Z37" s="8" t="s">
        <v>87</v>
      </c>
      <c r="AA37" s="17">
        <v>-0.78297861892205656</v>
      </c>
    </row>
    <row r="38" spans="1:27" x14ac:dyDescent="0.25">
      <c r="A38">
        <f t="shared" si="0"/>
        <v>36</v>
      </c>
      <c r="B38" s="8" t="s">
        <v>141</v>
      </c>
      <c r="C38" s="17">
        <v>-1.3230272306466924</v>
      </c>
      <c r="D38" s="57"/>
      <c r="E38">
        <v>36</v>
      </c>
      <c r="F38" s="8" t="s">
        <v>127</v>
      </c>
      <c r="G38" s="17">
        <v>-0.58678909075750352</v>
      </c>
      <c r="H38" s="57"/>
      <c r="I38">
        <f t="shared" si="1"/>
        <v>36</v>
      </c>
      <c r="J38" s="8" t="s">
        <v>79</v>
      </c>
      <c r="K38" s="33">
        <v>-0.80756779025385006</v>
      </c>
      <c r="L38" s="58"/>
      <c r="M38">
        <f t="shared" si="2"/>
        <v>36</v>
      </c>
      <c r="N38" t="s">
        <v>81</v>
      </c>
      <c r="O38" s="33">
        <v>-1.1330595210475649</v>
      </c>
      <c r="Q38">
        <f t="shared" si="3"/>
        <v>36</v>
      </c>
      <c r="R38" t="s">
        <v>150</v>
      </c>
      <c r="S38" s="17">
        <v>-0.88140220323419238</v>
      </c>
      <c r="U38">
        <v>36</v>
      </c>
      <c r="V38" t="s">
        <v>121</v>
      </c>
      <c r="W38">
        <v>-0.9418955989099197</v>
      </c>
      <c r="X38" s="57"/>
      <c r="Y38">
        <v>36</v>
      </c>
      <c r="Z38" s="8" t="s">
        <v>133</v>
      </c>
      <c r="AA38" s="17">
        <v>-0.79375471805670372</v>
      </c>
    </row>
    <row r="39" spans="1:27" x14ac:dyDescent="0.25">
      <c r="A39">
        <f t="shared" si="0"/>
        <v>37</v>
      </c>
      <c r="B39" s="8" t="s">
        <v>109</v>
      </c>
      <c r="C39" s="17">
        <v>-1.3599738809307829</v>
      </c>
      <c r="D39" s="57"/>
      <c r="E39">
        <v>37</v>
      </c>
      <c r="F39" s="8" t="s">
        <v>87</v>
      </c>
      <c r="G39" s="17">
        <v>-0.66163441782395083</v>
      </c>
      <c r="H39" s="57"/>
      <c r="I39">
        <f t="shared" si="1"/>
        <v>37</v>
      </c>
      <c r="J39" s="8" t="s">
        <v>141</v>
      </c>
      <c r="K39" s="33">
        <v>-0.86122547791647774</v>
      </c>
      <c r="L39" s="58"/>
      <c r="M39">
        <f t="shared" si="2"/>
        <v>37</v>
      </c>
      <c r="N39" t="s">
        <v>117</v>
      </c>
      <c r="O39" s="33">
        <v>-1.4435391184970179</v>
      </c>
      <c r="Q39">
        <f t="shared" si="3"/>
        <v>37</v>
      </c>
      <c r="R39" t="s">
        <v>117</v>
      </c>
      <c r="S39" s="17">
        <v>-0.91214174546892202</v>
      </c>
      <c r="U39">
        <v>37</v>
      </c>
      <c r="V39" t="s">
        <v>139</v>
      </c>
      <c r="W39">
        <v>-0.95381842757250535</v>
      </c>
      <c r="X39" s="57"/>
      <c r="Y39">
        <v>37</v>
      </c>
      <c r="Z39" s="8" t="s">
        <v>121</v>
      </c>
      <c r="AA39" s="17">
        <v>-0.90083679994797317</v>
      </c>
    </row>
    <row r="40" spans="1:27" x14ac:dyDescent="0.25">
      <c r="A40">
        <f t="shared" si="0"/>
        <v>38</v>
      </c>
      <c r="B40" s="8" t="s">
        <v>103</v>
      </c>
      <c r="C40" s="17">
        <v>-1.3748519102307362</v>
      </c>
      <c r="D40" s="57"/>
      <c r="E40">
        <v>38</v>
      </c>
      <c r="F40" s="8" t="s">
        <v>75</v>
      </c>
      <c r="G40" s="17">
        <v>-0.73831081324256864</v>
      </c>
      <c r="H40" s="57"/>
      <c r="I40">
        <f t="shared" si="1"/>
        <v>38</v>
      </c>
      <c r="J40" s="8" t="s">
        <v>113</v>
      </c>
      <c r="K40" s="33">
        <v>-0.86987824429174554</v>
      </c>
      <c r="L40" s="58"/>
      <c r="M40">
        <f t="shared" si="2"/>
        <v>38</v>
      </c>
      <c r="N40" t="s">
        <v>89</v>
      </c>
      <c r="O40" s="33">
        <v>-1.4745675516653556</v>
      </c>
      <c r="Q40">
        <f t="shared" si="3"/>
        <v>38</v>
      </c>
      <c r="R40" t="s">
        <v>95</v>
      </c>
      <c r="S40" s="17">
        <v>-0.92679837217974115</v>
      </c>
      <c r="U40">
        <v>38</v>
      </c>
      <c r="V40" t="s">
        <v>81</v>
      </c>
      <c r="W40">
        <v>-0.98582107009609754</v>
      </c>
      <c r="X40" s="57"/>
      <c r="Y40">
        <v>38</v>
      </c>
      <c r="Z40" s="8" t="s">
        <v>157</v>
      </c>
      <c r="AA40" s="17">
        <v>-0.92162633856497056</v>
      </c>
    </row>
    <row r="41" spans="1:27" x14ac:dyDescent="0.25">
      <c r="A41">
        <f t="shared" si="0"/>
        <v>39</v>
      </c>
      <c r="B41" s="8" t="s">
        <v>101</v>
      </c>
      <c r="C41" s="17">
        <v>-1.4168086945512004</v>
      </c>
      <c r="D41" s="57"/>
      <c r="E41">
        <v>39</v>
      </c>
      <c r="F41" s="8" t="s">
        <v>101</v>
      </c>
      <c r="G41" s="17">
        <v>-0.75980973724353196</v>
      </c>
      <c r="H41" s="57"/>
      <c r="I41">
        <f t="shared" si="1"/>
        <v>39</v>
      </c>
      <c r="J41" s="8" t="s">
        <v>121</v>
      </c>
      <c r="K41" s="33">
        <v>-1.0336518148569074</v>
      </c>
      <c r="L41" s="58"/>
      <c r="M41">
        <f t="shared" si="2"/>
        <v>39</v>
      </c>
      <c r="N41" t="s">
        <v>141</v>
      </c>
      <c r="O41" s="33">
        <v>-1.7196470061826867</v>
      </c>
      <c r="Q41">
        <f t="shared" si="3"/>
        <v>39</v>
      </c>
      <c r="R41" t="s">
        <v>156</v>
      </c>
      <c r="S41" s="17">
        <v>-1.0757828165179115</v>
      </c>
      <c r="U41">
        <v>39</v>
      </c>
      <c r="V41" t="s">
        <v>119</v>
      </c>
      <c r="W41">
        <v>-1.0065320679725271</v>
      </c>
      <c r="X41" s="57"/>
      <c r="Y41">
        <v>39</v>
      </c>
      <c r="Z41" s="8" t="s">
        <v>119</v>
      </c>
      <c r="AA41" s="17">
        <v>-0.97480827095467559</v>
      </c>
    </row>
    <row r="42" spans="1:27" x14ac:dyDescent="0.25">
      <c r="A42">
        <f t="shared" si="0"/>
        <v>40</v>
      </c>
      <c r="B42" s="8" t="s">
        <v>77</v>
      </c>
      <c r="C42" s="17">
        <v>-1.4352246714168786</v>
      </c>
      <c r="D42" s="57"/>
      <c r="E42">
        <v>40</v>
      </c>
      <c r="F42" s="8" t="s">
        <v>81</v>
      </c>
      <c r="G42" s="17">
        <v>-0.85197877556684842</v>
      </c>
      <c r="H42" s="57"/>
      <c r="I42">
        <f t="shared" si="1"/>
        <v>40</v>
      </c>
      <c r="J42" s="8" t="s">
        <v>157</v>
      </c>
      <c r="K42" s="33">
        <v>-1.2349846695954387</v>
      </c>
      <c r="L42" s="58"/>
      <c r="M42">
        <f t="shared" si="2"/>
        <v>40</v>
      </c>
      <c r="N42" t="s">
        <v>77</v>
      </c>
      <c r="O42" s="33">
        <v>-1.8007909745569277</v>
      </c>
      <c r="Q42">
        <f t="shared" si="3"/>
        <v>40</v>
      </c>
      <c r="R42" t="s">
        <v>103</v>
      </c>
      <c r="S42" s="17">
        <v>-1.1211399378995037</v>
      </c>
      <c r="U42">
        <v>40</v>
      </c>
      <c r="V42" t="s">
        <v>133</v>
      </c>
      <c r="W42">
        <v>-1.0261534169184006</v>
      </c>
      <c r="X42" s="57"/>
      <c r="Y42">
        <v>40</v>
      </c>
      <c r="Z42" s="8" t="s">
        <v>139</v>
      </c>
      <c r="AA42" s="17">
        <v>-0.99125775205605671</v>
      </c>
    </row>
    <row r="43" spans="1:27" x14ac:dyDescent="0.25">
      <c r="A43">
        <f t="shared" si="0"/>
        <v>41</v>
      </c>
      <c r="B43" s="8" t="s">
        <v>121</v>
      </c>
      <c r="C43" s="17">
        <v>-1.5404378605845643</v>
      </c>
      <c r="D43" s="57"/>
      <c r="E43">
        <v>41</v>
      </c>
      <c r="F43" s="8" t="s">
        <v>67</v>
      </c>
      <c r="G43" s="17">
        <v>-0.89644787053523822</v>
      </c>
      <c r="H43" s="57"/>
      <c r="I43">
        <f t="shared" si="1"/>
        <v>41</v>
      </c>
      <c r="J43" s="8" t="s">
        <v>137</v>
      </c>
      <c r="K43" s="33">
        <v>-1.2467656365130293</v>
      </c>
      <c r="L43" s="58"/>
      <c r="M43">
        <f t="shared" si="2"/>
        <v>41</v>
      </c>
      <c r="N43" t="s">
        <v>91</v>
      </c>
      <c r="O43" s="33">
        <v>-2.1274572205242555</v>
      </c>
      <c r="Q43">
        <f t="shared" si="3"/>
        <v>41</v>
      </c>
      <c r="R43" t="s">
        <v>79</v>
      </c>
      <c r="S43" s="17">
        <v>-1.1554689464590406</v>
      </c>
      <c r="U43">
        <v>41</v>
      </c>
      <c r="V43" t="s">
        <v>160</v>
      </c>
      <c r="W43">
        <v>-1.0530327408505529</v>
      </c>
      <c r="X43" s="57"/>
      <c r="Y43">
        <v>41</v>
      </c>
      <c r="Z43" s="8" t="s">
        <v>83</v>
      </c>
      <c r="AA43" s="17">
        <v>-1.0177282959318703</v>
      </c>
    </row>
    <row r="44" spans="1:27" x14ac:dyDescent="0.25">
      <c r="A44">
        <f t="shared" si="0"/>
        <v>42</v>
      </c>
      <c r="B44" s="8" t="s">
        <v>107</v>
      </c>
      <c r="C44" s="17">
        <v>-1.5450353062366116</v>
      </c>
      <c r="D44" s="57"/>
      <c r="E44">
        <v>42</v>
      </c>
      <c r="F44" s="8" t="s">
        <v>119</v>
      </c>
      <c r="G44" s="17">
        <v>-0.93223547209601332</v>
      </c>
      <c r="H44" s="57"/>
      <c r="I44">
        <f t="shared" si="1"/>
        <v>42</v>
      </c>
      <c r="J44" s="8" t="s">
        <v>160</v>
      </c>
      <c r="K44" s="33">
        <v>-1.2712024930870869</v>
      </c>
      <c r="L44" s="58"/>
      <c r="M44">
        <f t="shared" si="2"/>
        <v>42</v>
      </c>
      <c r="N44" t="s">
        <v>153</v>
      </c>
      <c r="O44" s="33">
        <v>-2.5114303873369819</v>
      </c>
      <c r="Q44">
        <f t="shared" si="3"/>
        <v>42</v>
      </c>
      <c r="R44" t="s">
        <v>154</v>
      </c>
      <c r="S44" s="17">
        <v>-1.2215051411559243</v>
      </c>
      <c r="U44">
        <v>42</v>
      </c>
      <c r="V44" t="s">
        <v>157</v>
      </c>
      <c r="W44">
        <v>-1.1208372515557983</v>
      </c>
      <c r="X44" s="57"/>
      <c r="Y44">
        <v>42</v>
      </c>
      <c r="Z44" s="8" t="s">
        <v>107</v>
      </c>
      <c r="AA44" s="17">
        <v>-1.0265730416092747</v>
      </c>
    </row>
    <row r="45" spans="1:27" x14ac:dyDescent="0.25">
      <c r="A45">
        <f t="shared" si="0"/>
        <v>43</v>
      </c>
      <c r="B45" s="8" t="s">
        <v>83</v>
      </c>
      <c r="C45" s="17">
        <v>-1.7716111380212878</v>
      </c>
      <c r="D45" s="57"/>
      <c r="E45">
        <v>43</v>
      </c>
      <c r="F45" s="8" t="s">
        <v>160</v>
      </c>
      <c r="G45" s="17">
        <v>-0.96313743672712238</v>
      </c>
      <c r="H45" s="57"/>
      <c r="I45">
        <f t="shared" si="1"/>
        <v>43</v>
      </c>
      <c r="J45" s="8" t="s">
        <v>83</v>
      </c>
      <c r="K45" s="33">
        <v>-1.426436334385873</v>
      </c>
      <c r="L45" s="58"/>
      <c r="M45">
        <f t="shared" si="2"/>
        <v>43</v>
      </c>
      <c r="N45" t="s">
        <v>160</v>
      </c>
      <c r="O45" s="33">
        <v>-2.6228722874318202</v>
      </c>
      <c r="Q45">
        <f t="shared" si="3"/>
        <v>43</v>
      </c>
      <c r="R45" t="s">
        <v>160</v>
      </c>
      <c r="S45" s="17">
        <v>-1.4513726961534679</v>
      </c>
      <c r="U45">
        <v>43</v>
      </c>
      <c r="V45" t="s">
        <v>154</v>
      </c>
      <c r="W45">
        <v>-1.12660318685771</v>
      </c>
      <c r="X45" s="57"/>
      <c r="Y45">
        <v>43</v>
      </c>
      <c r="Z45" s="8" t="s">
        <v>81</v>
      </c>
      <c r="AA45" s="17">
        <v>-1.0301029551031748</v>
      </c>
    </row>
    <row r="46" spans="1:27" x14ac:dyDescent="0.25">
      <c r="A46">
        <f t="shared" si="0"/>
        <v>44</v>
      </c>
      <c r="B46" s="8" t="s">
        <v>81</v>
      </c>
      <c r="C46" s="17">
        <v>-1.780453784324364</v>
      </c>
      <c r="D46" s="57"/>
      <c r="E46">
        <v>44</v>
      </c>
      <c r="F46" s="8" t="s">
        <v>77</v>
      </c>
      <c r="G46" s="17">
        <v>-1.0249788536399407</v>
      </c>
      <c r="H46" s="57"/>
      <c r="I46">
        <f t="shared" si="1"/>
        <v>44</v>
      </c>
      <c r="J46" s="8" t="s">
        <v>107</v>
      </c>
      <c r="K46" s="33">
        <v>-1.6215171941268682</v>
      </c>
      <c r="L46" s="58"/>
      <c r="M46">
        <f t="shared" si="2"/>
        <v>44</v>
      </c>
      <c r="N46" t="s">
        <v>143</v>
      </c>
      <c r="O46" s="33">
        <v>-3.007352086586967</v>
      </c>
      <c r="Q46">
        <f t="shared" si="3"/>
        <v>44</v>
      </c>
      <c r="R46" t="s">
        <v>99</v>
      </c>
      <c r="S46" s="17">
        <v>-1.5215435797405501</v>
      </c>
      <c r="U46">
        <v>44</v>
      </c>
      <c r="V46" t="s">
        <v>83</v>
      </c>
      <c r="W46">
        <v>-1.1620272643647562</v>
      </c>
      <c r="X46" s="57"/>
      <c r="Y46">
        <v>44</v>
      </c>
      <c r="Z46" s="8" t="s">
        <v>154</v>
      </c>
      <c r="AA46" s="17">
        <v>-1.068956510337471</v>
      </c>
    </row>
    <row r="47" spans="1:27" x14ac:dyDescent="0.25">
      <c r="A47">
        <f t="shared" si="0"/>
        <v>45</v>
      </c>
      <c r="B47" s="8" t="s">
        <v>152</v>
      </c>
      <c r="C47" s="17">
        <v>-1.7819497913884443</v>
      </c>
      <c r="D47" s="57"/>
      <c r="E47">
        <v>45</v>
      </c>
      <c r="F47" s="8" t="s">
        <v>83</v>
      </c>
      <c r="G47" s="17">
        <v>-1.0634771258238378</v>
      </c>
      <c r="H47" s="57"/>
      <c r="I47">
        <f t="shared" si="1"/>
        <v>45</v>
      </c>
      <c r="J47" s="8" t="s">
        <v>77</v>
      </c>
      <c r="K47" s="33">
        <v>-1.6487236972661747</v>
      </c>
      <c r="L47" s="58"/>
      <c r="M47">
        <f t="shared" si="2"/>
        <v>45</v>
      </c>
      <c r="N47" t="s">
        <v>139</v>
      </c>
      <c r="O47" s="33">
        <v>-3.0646071673952635</v>
      </c>
      <c r="Q47">
        <f t="shared" si="3"/>
        <v>45</v>
      </c>
      <c r="R47" t="s">
        <v>77</v>
      </c>
      <c r="S47" s="17">
        <v>-1.5404135000391406</v>
      </c>
      <c r="U47">
        <v>45</v>
      </c>
      <c r="V47" t="s">
        <v>107</v>
      </c>
      <c r="W47">
        <v>-1.170850784016491</v>
      </c>
      <c r="X47" s="57"/>
      <c r="Y47">
        <v>45</v>
      </c>
      <c r="Z47" s="8" t="s">
        <v>160</v>
      </c>
      <c r="AA47" s="17">
        <v>-1.071049761157191</v>
      </c>
    </row>
    <row r="48" spans="1:27" x14ac:dyDescent="0.25">
      <c r="A48">
        <f t="shared" si="0"/>
        <v>46</v>
      </c>
      <c r="B48" s="8" t="s">
        <v>119</v>
      </c>
      <c r="C48" s="17">
        <v>-1.7950949863516195</v>
      </c>
      <c r="D48" s="57"/>
      <c r="E48">
        <v>46</v>
      </c>
      <c r="F48" s="8" t="s">
        <v>157</v>
      </c>
      <c r="G48" s="17">
        <v>-1.1383536165894026</v>
      </c>
      <c r="H48" s="57"/>
      <c r="I48">
        <f t="shared" si="1"/>
        <v>46</v>
      </c>
      <c r="J48" s="8" t="s">
        <v>154</v>
      </c>
      <c r="K48" s="33">
        <v>-1.7979719063583126</v>
      </c>
      <c r="L48" s="58"/>
      <c r="M48">
        <f t="shared" si="2"/>
        <v>46</v>
      </c>
      <c r="N48" t="s">
        <v>157</v>
      </c>
      <c r="O48" s="33">
        <v>-3.5701972490806004</v>
      </c>
      <c r="Q48">
        <f t="shared" si="3"/>
        <v>46</v>
      </c>
      <c r="R48" t="s">
        <v>67</v>
      </c>
      <c r="S48" s="17">
        <v>-1.5833355803479161</v>
      </c>
      <c r="U48">
        <v>46</v>
      </c>
      <c r="V48" t="s">
        <v>77</v>
      </c>
      <c r="W48">
        <v>-1.3708950706788143</v>
      </c>
      <c r="X48" s="57"/>
      <c r="Y48">
        <v>46</v>
      </c>
      <c r="Z48" s="8" t="s">
        <v>77</v>
      </c>
      <c r="AA48" s="17">
        <v>-1.3600640509561108</v>
      </c>
    </row>
    <row r="49" spans="1:27" x14ac:dyDescent="0.25">
      <c r="A49">
        <f t="shared" si="0"/>
        <v>47</v>
      </c>
      <c r="B49" s="8" t="s">
        <v>154</v>
      </c>
      <c r="C49" s="17">
        <v>-1.8250756928628009</v>
      </c>
      <c r="D49" s="57"/>
      <c r="E49">
        <v>47</v>
      </c>
      <c r="F49" s="8" t="s">
        <v>79</v>
      </c>
      <c r="G49" s="17">
        <v>-1.2862596618199011</v>
      </c>
      <c r="H49" s="57"/>
      <c r="I49">
        <f t="shared" si="1"/>
        <v>47</v>
      </c>
      <c r="J49" s="8" t="s">
        <v>156</v>
      </c>
      <c r="K49" s="33">
        <v>-2.8489052897188634</v>
      </c>
      <c r="L49" s="58"/>
      <c r="M49">
        <f t="shared" si="2"/>
        <v>47</v>
      </c>
      <c r="N49" t="s">
        <v>133</v>
      </c>
      <c r="O49" s="33">
        <v>-3.9018994625489407</v>
      </c>
      <c r="Q49">
        <f t="shared" si="3"/>
        <v>47</v>
      </c>
      <c r="R49" t="s">
        <v>91</v>
      </c>
      <c r="S49" s="17">
        <v>-1.6011776630628989</v>
      </c>
      <c r="U49">
        <v>47</v>
      </c>
      <c r="V49" t="s">
        <v>67</v>
      </c>
      <c r="W49">
        <v>-1.5812037936978136</v>
      </c>
      <c r="X49" s="57"/>
      <c r="Y49">
        <v>47</v>
      </c>
      <c r="Z49" s="8" t="s">
        <v>67</v>
      </c>
      <c r="AA49" s="17">
        <v>-1.4202028901184405</v>
      </c>
    </row>
    <row r="50" spans="1:27" x14ac:dyDescent="0.25">
      <c r="A50">
        <f t="shared" si="0"/>
        <v>48</v>
      </c>
      <c r="B50" s="8" t="s">
        <v>67</v>
      </c>
      <c r="C50" s="17">
        <v>-1.8663097198988652</v>
      </c>
      <c r="D50" s="57"/>
      <c r="E50">
        <v>48</v>
      </c>
      <c r="F50" s="8" t="s">
        <v>85</v>
      </c>
      <c r="G50" s="17">
        <v>-1.4048931423858209</v>
      </c>
      <c r="H50" s="57"/>
      <c r="I50">
        <f t="shared" si="1"/>
        <v>48</v>
      </c>
      <c r="J50" s="8" t="s">
        <v>85</v>
      </c>
      <c r="K50" s="33">
        <v>-2.874286785233414</v>
      </c>
      <c r="L50" s="58"/>
      <c r="M50">
        <f t="shared" si="2"/>
        <v>48</v>
      </c>
      <c r="N50" t="s">
        <v>105</v>
      </c>
      <c r="O50" s="33">
        <v>-3.967976387943299</v>
      </c>
      <c r="Q50">
        <f t="shared" si="3"/>
        <v>48</v>
      </c>
      <c r="R50" t="s">
        <v>113</v>
      </c>
      <c r="S50" s="17">
        <v>-1.6970638771126112</v>
      </c>
      <c r="U50">
        <v>48</v>
      </c>
      <c r="V50" t="s">
        <v>103</v>
      </c>
      <c r="W50">
        <v>-1.7148956284060193</v>
      </c>
      <c r="X50" s="57"/>
      <c r="Y50">
        <v>48</v>
      </c>
      <c r="Z50" s="8" t="s">
        <v>103</v>
      </c>
      <c r="AA50" s="17">
        <v>-1.4462825259228937</v>
      </c>
    </row>
    <row r="51" spans="1:27" x14ac:dyDescent="0.25">
      <c r="A51">
        <f t="shared" si="0"/>
        <v>49</v>
      </c>
      <c r="B51" s="8" t="s">
        <v>156</v>
      </c>
      <c r="C51" s="17">
        <v>-1.9380274670097348</v>
      </c>
      <c r="D51" s="57"/>
      <c r="E51">
        <v>49</v>
      </c>
      <c r="F51" s="8" t="s">
        <v>103</v>
      </c>
      <c r="G51" s="17">
        <v>-1.5810075349069295</v>
      </c>
      <c r="H51" s="57"/>
      <c r="I51">
        <f t="shared" si="1"/>
        <v>49</v>
      </c>
      <c r="J51" s="8" t="s">
        <v>67</v>
      </c>
      <c r="K51" s="33">
        <v>-3.1933446161416454</v>
      </c>
      <c r="L51" s="58"/>
      <c r="M51">
        <f t="shared" si="2"/>
        <v>49</v>
      </c>
      <c r="N51" t="s">
        <v>111</v>
      </c>
      <c r="O51" s="33">
        <v>-5.0670059632230799</v>
      </c>
      <c r="Q51">
        <f t="shared" si="3"/>
        <v>49</v>
      </c>
      <c r="R51" t="s">
        <v>105</v>
      </c>
      <c r="S51" s="17">
        <v>-1.7355731088994757</v>
      </c>
      <c r="U51">
        <v>49</v>
      </c>
      <c r="V51" t="s">
        <v>85</v>
      </c>
      <c r="W51">
        <v>-1.8335287937137523</v>
      </c>
      <c r="X51" s="57"/>
      <c r="Y51">
        <v>49</v>
      </c>
      <c r="Z51" s="8" t="s">
        <v>85</v>
      </c>
      <c r="AA51" s="17">
        <v>-1.5549126456230391</v>
      </c>
    </row>
    <row r="52" spans="1:27" x14ac:dyDescent="0.25">
      <c r="A52">
        <f t="shared" si="0"/>
        <v>50</v>
      </c>
      <c r="B52" s="8" t="s">
        <v>85</v>
      </c>
      <c r="C52" s="17">
        <v>-1.99218931183638</v>
      </c>
      <c r="D52" s="57"/>
      <c r="E52">
        <v>50</v>
      </c>
      <c r="F52" s="8" t="s">
        <v>156</v>
      </c>
      <c r="G52" s="17">
        <v>-1.687999445587725</v>
      </c>
      <c r="H52" s="57"/>
      <c r="I52">
        <f t="shared" si="1"/>
        <v>50</v>
      </c>
      <c r="J52" s="8" t="s">
        <v>103</v>
      </c>
      <c r="K52" s="33">
        <v>-3.8072709627307599</v>
      </c>
      <c r="L52" s="58"/>
      <c r="M52">
        <f>M51+1</f>
        <v>50</v>
      </c>
      <c r="N52" t="s">
        <v>151</v>
      </c>
      <c r="O52" s="33">
        <v>-5.6104015601231838</v>
      </c>
      <c r="Q52">
        <f t="shared" si="3"/>
        <v>50</v>
      </c>
      <c r="R52" t="s">
        <v>151</v>
      </c>
      <c r="S52" s="17">
        <v>-2.0272470620833496</v>
      </c>
      <c r="U52">
        <v>50</v>
      </c>
      <c r="V52" t="s">
        <v>156</v>
      </c>
      <c r="W52">
        <v>-1.8543727750643046</v>
      </c>
      <c r="X52" s="57"/>
      <c r="Y52">
        <v>50</v>
      </c>
      <c r="Z52" s="8" t="s">
        <v>156</v>
      </c>
      <c r="AA52" s="17">
        <v>-1.6770605277442094</v>
      </c>
    </row>
    <row r="53" spans="1:27" x14ac:dyDescent="0.25">
      <c r="A53">
        <f t="shared" si="0"/>
        <v>51</v>
      </c>
      <c r="B53" t="s">
        <v>205</v>
      </c>
      <c r="C53" s="17">
        <v>-2.2264402502327862</v>
      </c>
      <c r="D53" s="17"/>
      <c r="E53">
        <v>51</v>
      </c>
      <c r="F53" t="s">
        <v>205</v>
      </c>
      <c r="G53" s="17">
        <v>-2.2960740996546529</v>
      </c>
      <c r="I53">
        <f t="shared" si="1"/>
        <v>51</v>
      </c>
      <c r="J53" t="s">
        <v>205</v>
      </c>
      <c r="K53" s="17">
        <v>-6.885973771718735</v>
      </c>
      <c r="M53">
        <f>M52+1</f>
        <v>51</v>
      </c>
      <c r="N53" t="s">
        <v>205</v>
      </c>
      <c r="O53" s="17">
        <v>-6.7981478040178072</v>
      </c>
      <c r="Q53">
        <f t="shared" si="3"/>
        <v>51</v>
      </c>
      <c r="R53" t="s">
        <v>205</v>
      </c>
      <c r="S53" s="17">
        <v>-2.0298155525727042</v>
      </c>
      <c r="U53">
        <v>51</v>
      </c>
      <c r="V53" t="s">
        <v>205</v>
      </c>
      <c r="W53">
        <v>-3.6398895572061316</v>
      </c>
      <c r="Y53">
        <v>51</v>
      </c>
      <c r="Z53" t="s">
        <v>205</v>
      </c>
      <c r="AA53" s="17">
        <v>-3.1542737352915284</v>
      </c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</vt:lpstr>
      <vt:lpstr>standardized values with PR</vt:lpstr>
      <vt:lpstr>rankings with PR</vt:lpstr>
    </vt:vector>
  </TitlesOfParts>
  <Company>Mercatus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Eileen Norcross</dc:creator>
  <cp:lastModifiedBy>Olivia Gonzalez</cp:lastModifiedBy>
  <dcterms:created xsi:type="dcterms:W3CDTF">2015-02-18T17:49:37Z</dcterms:created>
  <dcterms:modified xsi:type="dcterms:W3CDTF">2017-07-11T20:33:50Z</dcterms:modified>
</cp:coreProperties>
</file>